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lipuranen\Desktop\"/>
    </mc:Choice>
  </mc:AlternateContent>
  <workbookProtection workbookAlgorithmName="SHA-512" workbookHashValue="91lMXHi1q7/nAj9WaUFGwQe9kZfFGZcW1/pBVTYiMkS73OsIyrzgwp563eJksjZJPfG6I4EH77kN6vytIs/qbg==" workbookSaltValue="u7YqZqTPghbkdLZYmlGGwQ==" workbookSpinCount="100000" lockStructure="1"/>
  <bookViews>
    <workbookView xWindow="0" yWindow="0" windowWidth="19200" windowHeight="7050"/>
  </bookViews>
  <sheets>
    <sheet name="KANNATTAVUUSLASKELMA" sheetId="1" r:id="rId1"/>
    <sheet name="RAHOITUSLASKELMA" sheetId="2" r:id="rId2"/>
    <sheet name="KUUKAUSIMYYNTILASKELMA" sheetId="3" r:id="rId3"/>
    <sheet name="KASSAVIRTALASKELMA 1V." sheetId="4" r:id="rId4"/>
    <sheet name="KASSAVIRTALASKELMA 2 V." sheetId="5" r:id="rId5"/>
    <sheet name="KASSAVIRTALASKELMA 3 V." sheetId="6" r:id="rId6"/>
  </sheets>
  <definedNames>
    <definedName name="FiscalYearStartDate">'KASSAVIRTALASKELMA 1V.'!$A$4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N40" i="6"/>
  <c r="M40" i="6"/>
  <c r="L40" i="6"/>
  <c r="K40" i="6"/>
  <c r="J40" i="6"/>
  <c r="I40" i="6"/>
  <c r="H40" i="6"/>
  <c r="G40" i="6"/>
  <c r="F40" i="6"/>
  <c r="E40" i="6"/>
  <c r="D40" i="6"/>
  <c r="C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40" i="6" s="1"/>
  <c r="Q16" i="6"/>
  <c r="N12" i="6"/>
  <c r="M12" i="6"/>
  <c r="L12" i="6"/>
  <c r="K12" i="6"/>
  <c r="J12" i="6"/>
  <c r="I12" i="6"/>
  <c r="H12" i="6"/>
  <c r="G12" i="6"/>
  <c r="F12" i="6"/>
  <c r="E12" i="6"/>
  <c r="D12" i="6"/>
  <c r="C12" i="6"/>
  <c r="Q11" i="6"/>
  <c r="Q10" i="6"/>
  <c r="Q9" i="6"/>
  <c r="Q12" i="6" s="1"/>
  <c r="C4" i="6"/>
  <c r="D4" i="6" s="1"/>
  <c r="E4" i="6" s="1"/>
  <c r="F4" i="6" s="1"/>
  <c r="G4" i="6" s="1"/>
  <c r="H4" i="6" s="1"/>
  <c r="I4" i="6" s="1"/>
  <c r="J4" i="6" s="1"/>
  <c r="K4" i="6" s="1"/>
  <c r="L4" i="6" s="1"/>
  <c r="M4" i="6" s="1"/>
  <c r="N4" i="6" s="1"/>
  <c r="N3" i="6"/>
  <c r="M3" i="6"/>
  <c r="L3" i="6"/>
  <c r="K3" i="6"/>
  <c r="J3" i="6"/>
  <c r="I3" i="6"/>
  <c r="H3" i="6"/>
  <c r="G3" i="6"/>
  <c r="F3" i="6"/>
  <c r="E3" i="6"/>
  <c r="D3" i="6"/>
  <c r="C3" i="6"/>
  <c r="N40" i="5"/>
  <c r="M40" i="5"/>
  <c r="L40" i="5"/>
  <c r="K40" i="5"/>
  <c r="J40" i="5"/>
  <c r="I40" i="5"/>
  <c r="H40" i="5"/>
  <c r="G40" i="5"/>
  <c r="F40" i="5"/>
  <c r="E40" i="5"/>
  <c r="D40" i="5"/>
  <c r="C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40" i="5" s="1"/>
  <c r="N12" i="5"/>
  <c r="M12" i="5"/>
  <c r="L12" i="5"/>
  <c r="K12" i="5"/>
  <c r="J12" i="5"/>
  <c r="I12" i="5"/>
  <c r="H12" i="5"/>
  <c r="G12" i="5"/>
  <c r="F12" i="5"/>
  <c r="E12" i="5"/>
  <c r="D12" i="5"/>
  <c r="C12" i="5"/>
  <c r="Q11" i="5"/>
  <c r="Q10" i="5"/>
  <c r="Q9" i="5"/>
  <c r="Q12" i="5" s="1"/>
  <c r="N3" i="5"/>
  <c r="M3" i="5"/>
  <c r="L3" i="5"/>
  <c r="K3" i="5"/>
  <c r="J3" i="5"/>
  <c r="I3" i="5"/>
  <c r="H3" i="5"/>
  <c r="G3" i="5"/>
  <c r="F3" i="5"/>
  <c r="E3" i="5"/>
  <c r="D3" i="5"/>
  <c r="C3" i="5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Q10" i="4"/>
  <c r="Q9" i="4"/>
  <c r="Q12" i="4" s="1"/>
  <c r="O3" i="4"/>
  <c r="N3" i="4"/>
  <c r="M3" i="4"/>
  <c r="L3" i="4"/>
  <c r="K3" i="4"/>
  <c r="J3" i="4"/>
  <c r="I3" i="4"/>
  <c r="H3" i="4"/>
  <c r="G3" i="4"/>
  <c r="F3" i="4"/>
  <c r="E3" i="4"/>
  <c r="D3" i="4"/>
  <c r="L20" i="3"/>
  <c r="M20" i="3" s="1"/>
  <c r="J20" i="3"/>
  <c r="K21" i="3" s="1"/>
  <c r="H20" i="3"/>
  <c r="I21" i="3" s="1"/>
  <c r="F20" i="3"/>
  <c r="G20" i="3" s="1"/>
  <c r="D20" i="3"/>
  <c r="E20" i="3" s="1"/>
  <c r="B20" i="3"/>
  <c r="C21" i="3" s="1"/>
  <c r="M10" i="3"/>
  <c r="M13" i="3" s="1"/>
  <c r="K10" i="3"/>
  <c r="K15" i="3" s="1"/>
  <c r="I10" i="3"/>
  <c r="I18" i="3" s="1"/>
  <c r="G10" i="3"/>
  <c r="G17" i="3" s="1"/>
  <c r="E10" i="3"/>
  <c r="E16" i="3" s="1"/>
  <c r="E42" i="2"/>
  <c r="E31" i="2"/>
  <c r="E36" i="1"/>
  <c r="R16" i="1" s="1"/>
  <c r="S16" i="1" s="1"/>
  <c r="T16" i="1" s="1"/>
  <c r="C36" i="1"/>
  <c r="D33" i="1"/>
  <c r="B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R19" i="1" s="1"/>
  <c r="S19" i="1" s="1"/>
  <c r="T19" i="1" s="1"/>
  <c r="C23" i="1"/>
  <c r="E22" i="1"/>
  <c r="C22" i="1"/>
  <c r="E21" i="1"/>
  <c r="R18" i="1" s="1"/>
  <c r="S18" i="1" s="1"/>
  <c r="T18" i="1" s="1"/>
  <c r="C21" i="1"/>
  <c r="E20" i="1"/>
  <c r="C20" i="1"/>
  <c r="E19" i="1"/>
  <c r="R17" i="1" s="1"/>
  <c r="S17" i="1" s="1"/>
  <c r="T17" i="1" s="1"/>
  <c r="C19" i="1"/>
  <c r="E18" i="1"/>
  <c r="C18" i="1"/>
  <c r="E17" i="1"/>
  <c r="C17" i="1"/>
  <c r="E13" i="1"/>
  <c r="C13" i="1"/>
  <c r="E11" i="1"/>
  <c r="R23" i="1" s="1"/>
  <c r="S23" i="1" s="1"/>
  <c r="T23" i="1" s="1"/>
  <c r="C11" i="1"/>
  <c r="D10" i="1"/>
  <c r="D12" i="1" s="1"/>
  <c r="B10" i="1"/>
  <c r="B12" i="1" s="1"/>
  <c r="B14" i="1" s="1"/>
  <c r="E9" i="1"/>
  <c r="C9" i="1"/>
  <c r="E8" i="1"/>
  <c r="C8" i="1"/>
  <c r="C15" i="3" l="1"/>
  <c r="C13" i="3"/>
  <c r="C43" i="4"/>
  <c r="D13" i="4" s="1"/>
  <c r="D43" i="4" s="1"/>
  <c r="E13" i="4" s="1"/>
  <c r="E43" i="4" s="1"/>
  <c r="F13" i="4" s="1"/>
  <c r="F43" i="4" s="1"/>
  <c r="G13" i="4" s="1"/>
  <c r="G43" i="4" s="1"/>
  <c r="H13" i="4" s="1"/>
  <c r="H43" i="4" s="1"/>
  <c r="I13" i="4" s="1"/>
  <c r="I43" i="4" s="1"/>
  <c r="J13" i="4" s="1"/>
  <c r="J43" i="4" s="1"/>
  <c r="K13" i="4" s="1"/>
  <c r="K43" i="4" s="1"/>
  <c r="L13" i="4" s="1"/>
  <c r="L43" i="4" s="1"/>
  <c r="M13" i="4" s="1"/>
  <c r="M43" i="4" s="1"/>
  <c r="N13" i="4" s="1"/>
  <c r="N43" i="4" s="1"/>
  <c r="Q6" i="4" s="1"/>
  <c r="Q13" i="4" s="1"/>
  <c r="B35" i="1"/>
  <c r="B37" i="1" s="1"/>
  <c r="B38" i="1" s="1"/>
  <c r="C38" i="1" s="1"/>
  <c r="C10" i="1"/>
  <c r="C12" i="1" s="1"/>
  <c r="C14" i="1" s="1"/>
  <c r="Q40" i="4"/>
  <c r="M14" i="3"/>
  <c r="M15" i="3"/>
  <c r="K18" i="3"/>
  <c r="C16" i="3"/>
  <c r="C17" i="3"/>
  <c r="E45" i="2"/>
  <c r="I13" i="3"/>
  <c r="K13" i="3"/>
  <c r="I17" i="3"/>
  <c r="C14" i="3"/>
  <c r="K17" i="3"/>
  <c r="K16" i="3"/>
  <c r="K14" i="3"/>
  <c r="C18" i="3"/>
  <c r="E21" i="3"/>
  <c r="E14" i="3"/>
  <c r="G15" i="3"/>
  <c r="I16" i="3"/>
  <c r="M18" i="3"/>
  <c r="I20" i="3"/>
  <c r="G21" i="3"/>
  <c r="M21" i="3"/>
  <c r="E15" i="3"/>
  <c r="G16" i="3"/>
  <c r="E13" i="3"/>
  <c r="G14" i="3"/>
  <c r="I15" i="3"/>
  <c r="M17" i="3"/>
  <c r="G13" i="3"/>
  <c r="I14" i="3"/>
  <c r="M16" i="3"/>
  <c r="C20" i="3"/>
  <c r="K20" i="3"/>
  <c r="E18" i="3"/>
  <c r="E17" i="3"/>
  <c r="G18" i="3"/>
  <c r="E33" i="1"/>
  <c r="R22" i="1"/>
  <c r="S22" i="1" s="1"/>
  <c r="T22" i="1" s="1"/>
  <c r="C33" i="1"/>
  <c r="E12" i="1"/>
  <c r="E14" i="1" s="1"/>
  <c r="D14" i="1"/>
  <c r="D35" i="1" s="1"/>
  <c r="D37" i="1" s="1"/>
  <c r="E10" i="1"/>
  <c r="R20" i="1"/>
  <c r="S20" i="1" s="1"/>
  <c r="T20" i="1" s="1"/>
  <c r="N21" i="3" l="1"/>
  <c r="M24" i="3" s="1"/>
  <c r="N24" i="3" s="1"/>
  <c r="C35" i="1"/>
  <c r="C37" i="1" s="1"/>
  <c r="C43" i="1" s="1"/>
  <c r="C44" i="1" s="1"/>
  <c r="C45" i="1" s="1"/>
  <c r="C46" i="1" s="1"/>
  <c r="B39" i="1"/>
  <c r="Q43" i="4"/>
  <c r="C6" i="5" s="1"/>
  <c r="C13" i="5" s="1"/>
  <c r="C43" i="5" s="1"/>
  <c r="D6" i="5" s="1"/>
  <c r="D13" i="5" s="1"/>
  <c r="D43" i="5" s="1"/>
  <c r="E6" i="5" s="1"/>
  <c r="E13" i="5" s="1"/>
  <c r="E43" i="5" s="1"/>
  <c r="F6" i="5" s="1"/>
  <c r="F13" i="5" s="1"/>
  <c r="F43" i="5" s="1"/>
  <c r="G6" i="5" s="1"/>
  <c r="G13" i="5" s="1"/>
  <c r="G43" i="5" s="1"/>
  <c r="H6" i="5" s="1"/>
  <c r="H13" i="5" s="1"/>
  <c r="H43" i="5" s="1"/>
  <c r="I6" i="5" s="1"/>
  <c r="I13" i="5" s="1"/>
  <c r="I43" i="5" s="1"/>
  <c r="J6" i="5" s="1"/>
  <c r="J13" i="5" s="1"/>
  <c r="J43" i="5" s="1"/>
  <c r="K6" i="5" s="1"/>
  <c r="K13" i="5" s="1"/>
  <c r="K43" i="5" s="1"/>
  <c r="L6" i="5" s="1"/>
  <c r="L13" i="5" s="1"/>
  <c r="L43" i="5" s="1"/>
  <c r="M6" i="5" s="1"/>
  <c r="M13" i="5" s="1"/>
  <c r="M43" i="5" s="1"/>
  <c r="N6" i="5" s="1"/>
  <c r="O13" i="4"/>
  <c r="O43" i="4" s="1"/>
  <c r="K19" i="3"/>
  <c r="I19" i="3"/>
  <c r="N13" i="3"/>
  <c r="C19" i="3"/>
  <c r="N16" i="3"/>
  <c r="N14" i="3"/>
  <c r="N18" i="3"/>
  <c r="N20" i="3"/>
  <c r="M23" i="3" s="1"/>
  <c r="N23" i="3" s="1"/>
  <c r="M19" i="3"/>
  <c r="N15" i="3"/>
  <c r="N17" i="3"/>
  <c r="E19" i="3"/>
  <c r="G19" i="3"/>
  <c r="E35" i="1"/>
  <c r="E37" i="1" s="1"/>
  <c r="D43" i="1" s="1"/>
  <c r="D44" i="1" s="1"/>
  <c r="D38" i="1"/>
  <c r="D39" i="1" s="1"/>
  <c r="Q6" i="5" l="1"/>
  <c r="Q13" i="5" s="1"/>
  <c r="Q43" i="5" s="1"/>
  <c r="C6" i="6" s="1"/>
  <c r="C13" i="6" s="1"/>
  <c r="C43" i="6" s="1"/>
  <c r="D6" i="6" s="1"/>
  <c r="D13" i="6" s="1"/>
  <c r="D43" i="6" s="1"/>
  <c r="E6" i="6" s="1"/>
  <c r="E13" i="6" s="1"/>
  <c r="E43" i="6" s="1"/>
  <c r="F6" i="6" s="1"/>
  <c r="F13" i="6" s="1"/>
  <c r="F43" i="6" s="1"/>
  <c r="G6" i="6" s="1"/>
  <c r="G13" i="6" s="1"/>
  <c r="G43" i="6" s="1"/>
  <c r="H6" i="6" s="1"/>
  <c r="H13" i="6" s="1"/>
  <c r="H43" i="6" s="1"/>
  <c r="I6" i="6" s="1"/>
  <c r="I13" i="6" s="1"/>
  <c r="I43" i="6" s="1"/>
  <c r="J6" i="6" s="1"/>
  <c r="J13" i="6" s="1"/>
  <c r="J43" i="6" s="1"/>
  <c r="K6" i="6" s="1"/>
  <c r="K13" i="6" s="1"/>
  <c r="K43" i="6" s="1"/>
  <c r="L6" i="6" s="1"/>
  <c r="L13" i="6" s="1"/>
  <c r="L43" i="6" s="1"/>
  <c r="M6" i="6" s="1"/>
  <c r="M13" i="6" s="1"/>
  <c r="M43" i="6" s="1"/>
  <c r="N6" i="6" s="1"/>
  <c r="N13" i="5"/>
  <c r="N43" i="5" s="1"/>
  <c r="C39" i="1"/>
  <c r="E38" i="1"/>
  <c r="R14" i="1" s="1"/>
  <c r="D45" i="1"/>
  <c r="D46" i="1" s="1"/>
  <c r="M26" i="3"/>
  <c r="N26" i="3" s="1"/>
  <c r="N19" i="3"/>
  <c r="M25" i="3" s="1"/>
  <c r="Q6" i="6" l="1"/>
  <c r="Q13" i="6" s="1"/>
  <c r="Q43" i="6" s="1"/>
  <c r="N13" i="6"/>
  <c r="N43" i="6" s="1"/>
  <c r="E39" i="1"/>
  <c r="R13" i="1" s="1"/>
  <c r="R15" i="1" s="1"/>
  <c r="M27" i="3"/>
  <c r="M28" i="3"/>
  <c r="N25" i="3"/>
  <c r="E43" i="1" l="1"/>
  <c r="E44" i="1" s="1"/>
  <c r="E45" i="1" s="1"/>
  <c r="E46" i="1" s="1"/>
  <c r="S15" i="1"/>
  <c r="R21" i="1"/>
  <c r="R24" i="1" s="1"/>
  <c r="R26" i="1" s="1"/>
  <c r="R28" i="1" s="1"/>
  <c r="T15" i="1" l="1"/>
  <c r="S14" i="1"/>
  <c r="S13" i="1" s="1"/>
  <c r="S21" i="1"/>
  <c r="S24" i="1" s="1"/>
  <c r="S26" i="1" s="1"/>
  <c r="S28" i="1" s="1"/>
  <c r="T14" i="1" l="1"/>
  <c r="T13" i="1" s="1"/>
  <c r="T21" i="1"/>
  <c r="T24" i="1" s="1"/>
  <c r="T26" i="1" s="1"/>
  <c r="T28" i="1" s="1"/>
</calcChain>
</file>

<file path=xl/sharedStrings.xml><?xml version="1.0" encoding="utf-8"?>
<sst xmlns="http://schemas.openxmlformats.org/spreadsheetml/2006/main" count="398" uniqueCount="252">
  <si>
    <r>
      <t>Kannattavuus</t>
    </r>
    <r>
      <rPr>
        <b/>
        <sz val="14"/>
        <color theme="3"/>
        <rFont val="Calibri Light"/>
        <family val="2"/>
        <scheme val="major"/>
      </rPr>
      <t xml:space="preserve">laskelma / </t>
    </r>
    <r>
      <rPr>
        <b/>
        <sz val="14"/>
        <color theme="4"/>
        <rFont val="Calibri Light"/>
        <family val="2"/>
        <scheme val="major"/>
      </rPr>
      <t>ns. nollatulos</t>
    </r>
    <r>
      <rPr>
        <b/>
        <sz val="14"/>
        <color theme="1" tint="0.249977111117893"/>
        <rFont val="Calibri Light"/>
        <family val="2"/>
        <scheme val="major"/>
      </rPr>
      <t>laskelma</t>
    </r>
  </si>
  <si>
    <t>KOLMEN VUODEN TULOSLASKELMA</t>
  </si>
  <si>
    <t>Kannattavuuslaskelman avulla voit hahmottaa, minkälaiseen liikevaihtoon</t>
  </si>
  <si>
    <t>sinun tulisi minimissään pyrkiä. (täyttöohjeet alla)</t>
  </si>
  <si>
    <t>OHJE: voit muuttaa tulojen ja</t>
  </si>
  <si>
    <t>menojen kasvuprosenttilukuja</t>
  </si>
  <si>
    <t>1. puoli vuotta      x.x.xxxx-x.x.202x</t>
  </si>
  <si>
    <t>Tavoitetilanne 1-3 vuoden sisällä</t>
  </si>
  <si>
    <t>LUE OHJEET TÄYTTÄMISEEN TÄSTÄ:</t>
  </si>
  <si>
    <t>kasvu %</t>
  </si>
  <si>
    <t>vuosi 2</t>
  </si>
  <si>
    <t>vuosi 3</t>
  </si>
  <si>
    <t>Kk</t>
  </si>
  <si>
    <t>Vuodessa (12 kk)</t>
  </si>
  <si>
    <t xml:space="preserve">OHJE: merkitse sinisiin sarakkeeseen 1. puolen vuoden tilikausi </t>
  </si>
  <si>
    <t>tulot</t>
  </si>
  <si>
    <t>TAVOITETULOS (oma nettotulotarve)</t>
  </si>
  <si>
    <t>+ €</t>
  </si>
  <si>
    <t>menot</t>
  </si>
  <si>
    <t xml:space="preserve">  + yrityslainojen lyhennys</t>
  </si>
  <si>
    <t xml:space="preserve"> = NETTOTULOT</t>
  </si>
  <si>
    <t>= €</t>
  </si>
  <si>
    <t xml:space="preserve">  + verot omasta tulosta</t>
  </si>
  <si>
    <t>OHJE: Esim. jos kk-nettotulotarpeesi on 1700 €/kk,</t>
  </si>
  <si>
    <t xml:space="preserve"> = RAHOITUSTARVE (oma bruttotulo)</t>
  </si>
  <si>
    <t>valtio+kuntaverot omasta tulosta ovat noin 550 €/kk</t>
  </si>
  <si>
    <t>euroa</t>
  </si>
  <si>
    <t>vuosi +1</t>
  </si>
  <si>
    <t>vuosi +2</t>
  </si>
  <si>
    <t>vuosi +3</t>
  </si>
  <si>
    <t xml:space="preserve">  + yrityslainojen korot</t>
  </si>
  <si>
    <t>Myyntituotot</t>
  </si>
  <si>
    <t>A = YHTEENSÄ</t>
  </si>
  <si>
    <t>Arvonlisävero</t>
  </si>
  <si>
    <t>LIIKEVAIHTO</t>
  </si>
  <si>
    <t>YRITYSTOIMINNAN KIINTEÄT KULUT (ilman alv):</t>
  </si>
  <si>
    <t>Aineet ja tarvikkeet</t>
  </si>
  <si>
    <t xml:space="preserve">  yrittäjän eläkevakuutus (YEL)</t>
  </si>
  <si>
    <t>OHJE: Saat alkavana yrittäjänä 22%:n alennuksen</t>
  </si>
  <si>
    <t>Henkilöstökulut</t>
  </si>
  <si>
    <t xml:space="preserve">  muut vakuutukset</t>
  </si>
  <si>
    <t>Vuokrat</t>
  </si>
  <si>
    <t xml:space="preserve">  omien työntekijöiden palkat</t>
  </si>
  <si>
    <t>työtulosta otettuna alennettu YEL-kk-maksu</t>
  </si>
  <si>
    <t>Markkinointi</t>
  </si>
  <si>
    <t xml:space="preserve">  palkkojen sivukustannukset (n. 40 %)</t>
  </si>
  <si>
    <t>Liiketoiminnan muut kulut</t>
  </si>
  <si>
    <t xml:space="preserve">  vuokrat + sähkö</t>
  </si>
  <si>
    <t>KÄYTTÖKATE</t>
  </si>
  <si>
    <t xml:space="preserve">  leasing-maksut ym. Osamaksut</t>
  </si>
  <si>
    <t>Rahoituskulut</t>
  </si>
  <si>
    <t xml:space="preserve">  markkinointi</t>
  </si>
  <si>
    <t>Verot</t>
  </si>
  <si>
    <t xml:space="preserve">  puhelin, internet</t>
  </si>
  <si>
    <t>RAHOITUSTULOS</t>
  </si>
  <si>
    <t xml:space="preserve">  matka/autokulut</t>
  </si>
  <si>
    <t>Poistot</t>
  </si>
  <si>
    <t xml:space="preserve">  kirjanpito</t>
  </si>
  <si>
    <t>NETTOTULOS</t>
  </si>
  <si>
    <t xml:space="preserve">  toimistokulut</t>
  </si>
  <si>
    <t>Satunnaiset tuotot/kulut</t>
  </si>
  <si>
    <t xml:space="preserve">  koulutus</t>
  </si>
  <si>
    <t>KOKONAISTULOS</t>
  </si>
  <si>
    <t xml:space="preserve">  lehdet yms.</t>
  </si>
  <si>
    <t xml:space="preserve">  korjaukset</t>
  </si>
  <si>
    <t xml:space="preserve">  yrittäjän työttömyyskassamaksu</t>
  </si>
  <si>
    <t xml:space="preserve">  muut mahdolliset kulut</t>
  </si>
  <si>
    <t>B = KIINTEÄT KULUT YHTEENSÄ</t>
  </si>
  <si>
    <t xml:space="preserve">A+B MYYNTIKATETARVE </t>
  </si>
  <si>
    <t>+ Ostot (ilman alv) tavarakauppa, valmistus</t>
  </si>
  <si>
    <t xml:space="preserve"> = LIIKEVAIHTO</t>
  </si>
  <si>
    <t xml:space="preserve"> + Arvonlisävero</t>
  </si>
  <si>
    <t xml:space="preserve"> = KOKONAISMYYNTI / -LASKUTUS</t>
  </si>
  <si>
    <t xml:space="preserve">                      LASKUTUSTAVOITE</t>
  </si>
  <si>
    <t>Veroton</t>
  </si>
  <si>
    <t>Sis. Alv</t>
  </si>
  <si>
    <t>Kuukausilaskutustavoite (esim. 11 kk/v)</t>
  </si>
  <si>
    <t>= €/kk</t>
  </si>
  <si>
    <t>Päivälaskutustavoite (esim. 20 pv/kk)</t>
  </si>
  <si>
    <t>= €/pv</t>
  </si>
  <si>
    <t>Tuntilaskutustavoite (esim. 8 h/pv)</t>
  </si>
  <si>
    <t>= €/h</t>
  </si>
  <si>
    <t xml:space="preserve">Tämä luku siirtyy automaattisesti </t>
  </si>
  <si>
    <t xml:space="preserve">myyntilaskelmaan vihreään </t>
  </si>
  <si>
    <t>sarakekohtaan</t>
  </si>
  <si>
    <t>Ohjeet kannattavuuslaskelmaan:</t>
  </si>
  <si>
    <t>Tavoitetulos:</t>
  </si>
  <si>
    <t xml:space="preserve">Tavoitetulos tarkoittaa yrittäjän oman yritystoiminnan nettotulotarvetta. Saat sen, kun arvioit </t>
  </si>
  <si>
    <t>kuinka paljon rahaa tarvitset kuukaudessa henkilökohtaisiin menoihin (asuminen, ruoka,</t>
  </si>
  <si>
    <t xml:space="preserve"> vaatteet yms.). Tavoitetulosta voit myös arvioida työsuhteessa saamasi nettopalkan avulla.</t>
  </si>
  <si>
    <t>Nettotulot:</t>
  </si>
  <si>
    <t xml:space="preserve">Tavoitetulokseen lisätään yritystoiminnan lainojen lyhennys, jolloin saadaan nettotulot. Kun niihin </t>
  </si>
  <si>
    <t>lisätään verot ja yritystoiminnan lainojen korot saadaan summa (A=YHTEENSÄ), joka</t>
  </si>
  <si>
    <t xml:space="preserve"> yritystoiminnalla tulee ansaita elääkseen ja hoitaakseen yritystoiminnan lainat. </t>
  </si>
  <si>
    <t>Kiinteät kulut:</t>
  </si>
  <si>
    <t>Kiinteät kulut ovat kuluja, jotka eivät riipu yrityksen laskutuksen suuruudesta vaan jatkuvat</t>
  </si>
  <si>
    <t xml:space="preserve">kuukaudesta toiseen melko samansuuruisina. Kiinteitä kuluja ovat esim. muiden työtekijöiden </t>
  </si>
  <si>
    <t>palkat, vakuutukset, vuokrat, toimistokulut, sähkö/vesi jne.</t>
  </si>
  <si>
    <t>Myyntikatetarve:</t>
  </si>
  <si>
    <t xml:space="preserve">Laskemalla yhteen yritystoiminnan kiinteät kulut  saadaan summa (B = KIINTEÄT KULUT </t>
  </si>
  <si>
    <t xml:space="preserve">YHTEENSÄ) ja lisäämällä se edellä saatuun summaan (A=YHTEENSÄ) päästään  </t>
  </si>
  <si>
    <t>myyntikatetarpeeseen.</t>
  </si>
  <si>
    <t>Ostot:</t>
  </si>
  <si>
    <t>Tarkoittaa tavaraostoja tavarakaupassa ja valmistusmateriaaleja esim. tuotannossa.</t>
  </si>
  <si>
    <t>Liikevaihto:</t>
  </si>
  <si>
    <t>Liikevaihto kertoo yrityksen laskutuksen, ilman arvonlisäveroa.</t>
  </si>
  <si>
    <t>Arvonlisävero:</t>
  </si>
  <si>
    <t>Riippuu jossain määrin myytävistä tuotteista tai palveluista</t>
  </si>
  <si>
    <t>Kokonaismyynti/laskutus:</t>
  </si>
  <si>
    <t>Kokonaismyynti/laskutus on liikevaihto + arvonlisävero.</t>
  </si>
  <si>
    <t>Laskutustavoite:</t>
  </si>
  <si>
    <t xml:space="preserve">Laskutustavoitteen avulla voit laskea yrityksen kuukausi-, päivä-, ja tunti laskutustarpeen. Ota </t>
  </si>
  <si>
    <t xml:space="preserve">huomioon että yritys ei aina pysty laskuttamaan täysiä kuukausia, päiviä tai tunteja. Arvioi kuinka </t>
  </si>
  <si>
    <t>monta päivää tai tuntia yrityksesi pystyy laskuttamaan asiakkailtaan kuukaudessa.</t>
  </si>
  <si>
    <t>Vakuutusmaksut:</t>
  </si>
  <si>
    <t>Yrittäjän eläkevakuutusmaksu (YEL) on pakollinen ja arvioidaan yrittäjän omasta vuosiansiotulosta.</t>
  </si>
  <si>
    <t>Uusi yrittäjä saa 22 %:n alennuksen 48 ensimmäiseltä kuukaudelta.</t>
  </si>
  <si>
    <t>Työntekijän eläkevakuutus (TyEL) on pakollinen silloin, kun yritykseen otetaan palkattu työntekijä.</t>
  </si>
  <si>
    <t xml:space="preserve">Täytä kannattavuuslaskelma ajatuksen kanssa.  Se on tärkeä työväline yritystä </t>
  </si>
  <si>
    <t>suunnitellessasi ja sen toiminnassa.</t>
  </si>
  <si>
    <r>
      <rPr>
        <b/>
        <sz val="14"/>
        <color theme="1" tint="0.249977111117893"/>
        <rFont val="Calibri Light"/>
        <family val="2"/>
        <scheme val="major"/>
      </rPr>
      <t xml:space="preserve">Yritystoiminnan </t>
    </r>
    <r>
      <rPr>
        <b/>
        <sz val="14"/>
        <color theme="4"/>
        <rFont val="Calibri Light"/>
        <family val="2"/>
        <scheme val="major"/>
      </rPr>
      <t>rahoitus</t>
    </r>
  </si>
  <si>
    <t xml:space="preserve">Tämä lomake auttaa sinua selvittämään mitä yritystoimintasi aloittaminen maksaa (rahan tarve), </t>
  </si>
  <si>
    <t>sekä suunnittelemaan, miten aiot rahoittaa toiminnan (rahan lähteet).</t>
  </si>
  <si>
    <t>● Mitkä ovat yritystoimintasi kannalta tärkeitä ja järkeviä hankintoja?</t>
  </si>
  <si>
    <t xml:space="preserve">● Miten paljon käyttöpääomaa tarvitset selviytyäksesi ensimmäisistä kuukausista? </t>
  </si>
  <si>
    <t>● Kuinka paljon voit sijoittaa omaa rahaa tai/ja työvälineitä yritykseesi?</t>
  </si>
  <si>
    <t xml:space="preserve">● Kuinka paljon tarvitset lainaa, mistä hankit sen ja mitä se maksaa sekä tarvitsetko vakuuksia? </t>
  </si>
  <si>
    <t>RAHAN TARVE (ennen kuin aloitat yritystoiminnan)</t>
  </si>
  <si>
    <t>€</t>
  </si>
  <si>
    <t>INVESTOINNIT</t>
  </si>
  <si>
    <t>Jos kyseessä liiketoiminnan osto, kauppasumma</t>
  </si>
  <si>
    <t xml:space="preserve">Yrityksen perustamismenot </t>
  </si>
  <si>
    <t>OHJE: Toiminimen rekisteröinti maksaa 60 €, oy:n 240 €. Perustamismenoihin voidaan sisällyttää</t>
  </si>
  <si>
    <t>Työvälineet/tietotekniikka</t>
  </si>
  <si>
    <t>myös esim. osakassopimuksen laatimisesta tai toimialakohtaisista luvista aiheutuvia kuluja</t>
  </si>
  <si>
    <t>Apporttiomaisuus (jo valmiina olevat työvälineet)</t>
  </si>
  <si>
    <t>OHJE: Laita tähän jo mahdollisesti liiketoimintaasi varten valmiina olevien työvälineiden arvioitu arvo</t>
  </si>
  <si>
    <t>Puhelin</t>
  </si>
  <si>
    <t xml:space="preserve">Laskelma siirtää automaattisesti niiden arvon myös rahan lähteet -puolelle kohtaan omat </t>
  </si>
  <si>
    <t>Asennukset</t>
  </si>
  <si>
    <t>työvälineet</t>
  </si>
  <si>
    <t>Auto</t>
  </si>
  <si>
    <t>Kalusteet</t>
  </si>
  <si>
    <t>Remontointi</t>
  </si>
  <si>
    <t>Toimistotarvikkeet</t>
  </si>
  <si>
    <t>KÄYTTÖPÄÄOMA 1-3 KK</t>
  </si>
  <si>
    <t>Internetsivut, esitteet</t>
  </si>
  <si>
    <t>Vuokra tiloista/takuuvuokrat</t>
  </si>
  <si>
    <t>Laitevuokrat/leasing</t>
  </si>
  <si>
    <t>Yrittäjän oma toimeentulo</t>
  </si>
  <si>
    <t>Työntekijöiden palkat</t>
  </si>
  <si>
    <t>Muut satunnaiset käyttöpääomamenot</t>
  </si>
  <si>
    <t>VAIHTO- JA RAHOITUSOMAISUUS</t>
  </si>
  <si>
    <t>Alkuvarasto</t>
  </si>
  <si>
    <t>Kassa</t>
  </si>
  <si>
    <t>RAHAN TARVE YHTEENSÄ</t>
  </si>
  <si>
    <t>RAHAN LÄHTEET (miten järjestät alkurahoituksen?)</t>
  </si>
  <si>
    <t>OMA PÄÄOMA</t>
  </si>
  <si>
    <t>Omat työvälineet</t>
  </si>
  <si>
    <t>Omat sijoitukset yritykseen</t>
  </si>
  <si>
    <t>Osakepääoma</t>
  </si>
  <si>
    <t>LAINAPÄÄOMA</t>
  </si>
  <si>
    <t>Pankkilaina</t>
  </si>
  <si>
    <t>Finnvera</t>
  </si>
  <si>
    <t>Muut lainat (esim. lähipiirilaina)</t>
  </si>
  <si>
    <t>Muut (esim. luottokorttilimiitti jne)</t>
  </si>
  <si>
    <t>RAHAN LÄHTEET YHTEENSÄ</t>
  </si>
  <si>
    <r>
      <t xml:space="preserve">Aloittaaksesi yritystoiminnan </t>
    </r>
    <r>
      <rPr>
        <b/>
        <sz val="11.5"/>
        <color theme="1"/>
        <rFont val="Calibri Light"/>
        <family val="2"/>
        <scheme val="major"/>
      </rPr>
      <t>RAHAN TARPEET = RAHAN LÄHTEET</t>
    </r>
  </si>
  <si>
    <t>rahan tarpeen ja rahan lähteiden erotus, €</t>
  </si>
  <si>
    <t>OHJE: rahoituslaskelma on tehty oikein, kun rahan tarve = rahan lähteet. Jos saat miinus-</t>
  </si>
  <si>
    <t xml:space="preserve">merkkisen tuloksen erotukseksi, sinun täytyy lisätä rahan lähteiden summaa niin, että se </t>
  </si>
  <si>
    <t>vastaa rahan tarvetta.</t>
  </si>
  <si>
    <r>
      <t>Kuukausimyynti</t>
    </r>
    <r>
      <rPr>
        <b/>
        <sz val="14"/>
        <color theme="3"/>
        <rFont val="Calibri Light"/>
        <family val="2"/>
        <scheme val="major"/>
      </rPr>
      <t>laskelma</t>
    </r>
  </si>
  <si>
    <t>EUR/kk</t>
  </si>
  <si>
    <t>ilman alvia</t>
  </si>
  <si>
    <t>Tuotteet/tuoteryhmän nimi</t>
  </si>
  <si>
    <t>veroton a hinta</t>
  </si>
  <si>
    <t xml:space="preserve"> veroton a hinta</t>
  </si>
  <si>
    <t xml:space="preserve"> - kulut</t>
  </si>
  <si>
    <t xml:space="preserve"> = kate</t>
  </si>
  <si>
    <t>Asiakas/asiakasryhmä</t>
  </si>
  <si>
    <t>kpl, tuntia jne.</t>
  </si>
  <si>
    <t>Yhteensä</t>
  </si>
  <si>
    <t>B. (määrittele)</t>
  </si>
  <si>
    <t>C. (määrittele)</t>
  </si>
  <si>
    <t>D. (määrittele)</t>
  </si>
  <si>
    <t>E. (määrittele)</t>
  </si>
  <si>
    <t>F.</t>
  </si>
  <si>
    <t>Myyntikate yhteensä:</t>
  </si>
  <si>
    <t>Tuotemyynti yhteensä:</t>
  </si>
  <si>
    <t>Kulut yhteensä:</t>
  </si>
  <si>
    <t>kk</t>
  </si>
  <si>
    <t>vuodessa</t>
  </si>
  <si>
    <t>Liikevaihto (ilman alv)</t>
  </si>
  <si>
    <t>Kannattavuuslaskelman myyntikatetarve kk/vuosi *)</t>
  </si>
  <si>
    <t>Erotus (mahdollinen lisämyyntitarve)</t>
  </si>
  <si>
    <t>Erotus % (tavoite n. 80%)</t>
  </si>
  <si>
    <t xml:space="preserve">*) kannattavuuslaskelmasta automaattisesti </t>
  </si>
  <si>
    <t>siirtynyt kk-myyntikatetarve</t>
  </si>
  <si>
    <r>
      <t>Kassavirta</t>
    </r>
    <r>
      <rPr>
        <b/>
        <sz val="14"/>
        <color theme="3"/>
        <rFont val="Calibri Light"/>
        <family val="2"/>
        <scheme val="major"/>
      </rPr>
      <t>laskelma</t>
    </r>
  </si>
  <si>
    <t>1. VUOSI</t>
  </si>
  <si>
    <t>Tilikausi alkaa:</t>
  </si>
  <si>
    <t>(Ennen) käynnis-tystä</t>
  </si>
  <si>
    <t>1.1.20XX</t>
  </si>
  <si>
    <t>Arvio</t>
  </si>
  <si>
    <t>Nimikearvio</t>
  </si>
  <si>
    <t>Rahavarat kauden alussa (ns. alkukassa)</t>
  </si>
  <si>
    <t>Kassaanmaksu</t>
  </si>
  <si>
    <t>Käteismyynti (alv 0%)</t>
  </si>
  <si>
    <t>Maksut myyntisaamisista (alv 0%)</t>
  </si>
  <si>
    <t>Muut tulot (alv 0%)</t>
  </si>
  <si>
    <t>Alkukassa + tulot</t>
  </si>
  <si>
    <t>Kassastamaksu (alv 0%)</t>
  </si>
  <si>
    <t>Verojen maksu</t>
  </si>
  <si>
    <t>Lainalyhennykset</t>
  </si>
  <si>
    <t>Lainakorot ja nostopalkkiot</t>
  </si>
  <si>
    <t>YEL</t>
  </si>
  <si>
    <t>Muut vakuutukset</t>
  </si>
  <si>
    <t>Palkkojen sivukulut</t>
  </si>
  <si>
    <t>Vuokra</t>
  </si>
  <si>
    <t>Vuokravakuus</t>
  </si>
  <si>
    <t>Sähkö- ja vesimaksut</t>
  </si>
  <si>
    <t>Puhelin ja internetkulut</t>
  </si>
  <si>
    <t>Kirjanpitomaksut</t>
  </si>
  <si>
    <t>Toimisto-, pankki- ja postikulut</t>
  </si>
  <si>
    <t>Matka- ja autokulut</t>
  </si>
  <si>
    <t>Markkinointi ja mainontakulut</t>
  </si>
  <si>
    <t>Siivous-, kiinteistö- ja jätekulut</t>
  </si>
  <si>
    <t>Ohjelmisto- ja lisenssimaksut</t>
  </si>
  <si>
    <t>Jäsenmaksut</t>
  </si>
  <si>
    <t>Yrittäjän palkka tai yksityisnostot</t>
  </si>
  <si>
    <t>Korjaus ja ylläpito</t>
  </si>
  <si>
    <t>Ostot (raaka-aineet, varasto)</t>
  </si>
  <si>
    <t>Investoinnit/hankinnat</t>
  </si>
  <si>
    <t>Kertaluont. kulut/perustamiskulut</t>
  </si>
  <si>
    <t>Muut kulut (määritä)</t>
  </si>
  <si>
    <t>Kassastamaksu yhteensä</t>
  </si>
  <si>
    <t>Maksuvalmius (kuun lopussa)</t>
  </si>
  <si>
    <t>2. VUOSI</t>
  </si>
  <si>
    <t>OHJE: merkitse vain keltaisiin sarakkeisiin luvut.</t>
  </si>
  <si>
    <t>OHJE: merkitse sinisiin sarakkeisiin luvut</t>
  </si>
  <si>
    <t>A. (määrittele)</t>
  </si>
  <si>
    <t>Tuote tai palvelu 1</t>
  </si>
  <si>
    <t>Tuote tai palvelu 2</t>
  </si>
  <si>
    <t>Tuote tai palvelu 3</t>
  </si>
  <si>
    <t>Tuote tai palvelu 4</t>
  </si>
  <si>
    <t>Tuote tai palvelu 5</t>
  </si>
  <si>
    <t>Tuote tai palvelu 6</t>
  </si>
  <si>
    <t>YEL:n normaalimaksusta; esim. 14803 €:n vuosi-</t>
  </si>
  <si>
    <t>alle 53-vuotiaalle on 232 €/kk</t>
  </si>
  <si>
    <t>YEL-vakuutuslaskuri</t>
  </si>
  <si>
    <t>Linkin  kautta voit arvioida omaa YEL-vakuutusmaksuasi.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</si>
</sst>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"/>
    <numFmt numFmtId="165" formatCode="dd"/>
    <numFmt numFmtId="166" formatCode="0_);\-0_)"/>
    <numFmt numFmtId="167" formatCode="#,##0_ ;\-#,##0\ "/>
  </numFmts>
  <fonts count="3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4"/>
      <color theme="4"/>
      <name val="Calibri Light"/>
      <family val="2"/>
      <scheme val="major"/>
    </font>
    <font>
      <b/>
      <sz val="14"/>
      <color theme="3"/>
      <name val="Calibri Light"/>
      <family val="2"/>
      <scheme val="major"/>
    </font>
    <font>
      <b/>
      <sz val="14"/>
      <color theme="1" tint="0.249977111117893"/>
      <name val="Calibri Light"/>
      <family val="2"/>
      <scheme val="maj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.5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6"/>
      <color theme="1" tint="0.14996795556505021"/>
      <name val="Calibri Light"/>
      <family val="2"/>
      <scheme val="major"/>
    </font>
    <font>
      <b/>
      <sz val="11"/>
      <color theme="4" tint="-0.249977111117893"/>
      <name val="Calibri Light"/>
      <family val="2"/>
      <scheme val="major"/>
    </font>
    <font>
      <sz val="10"/>
      <color theme="1" tint="0.14996795556505021"/>
      <name val="Calibri Light"/>
      <family val="2"/>
      <scheme val="major"/>
    </font>
    <font>
      <b/>
      <sz val="10"/>
      <color theme="1" tint="0.14996795556505021"/>
      <name val="Calibri Light"/>
      <family val="2"/>
      <scheme val="major"/>
    </font>
    <font>
      <b/>
      <sz val="10"/>
      <color theme="1" tint="0.14975432599871821"/>
      <name val="Calibri Light"/>
      <family val="2"/>
      <scheme val="major"/>
    </font>
    <font>
      <b/>
      <sz val="10"/>
      <color theme="1" tint="0.14999847407452621"/>
      <name val="Calibri Light"/>
      <family val="2"/>
      <scheme val="major"/>
    </font>
    <font>
      <sz val="18"/>
      <color theme="1" tint="0.14996795556505021"/>
      <name val="Calibri Light"/>
      <family val="2"/>
      <scheme val="major"/>
    </font>
    <font>
      <sz val="10"/>
      <color theme="1" tint="0.14999847407452621"/>
      <name val="Calibri Light"/>
      <family val="2"/>
      <scheme val="major"/>
    </font>
    <font>
      <sz val="10"/>
      <color theme="1" tint="0.14975432599871821"/>
      <name val="Calibri Light"/>
      <family val="2"/>
      <scheme val="major"/>
    </font>
    <font>
      <b/>
      <sz val="10"/>
      <color theme="4" tint="-0.249977111117893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 tint="0.14999847407452621"/>
      <name val="Calibri"/>
      <family val="2"/>
      <scheme val="minor"/>
    </font>
    <font>
      <sz val="11"/>
      <color theme="1" tint="0.14996795556505021"/>
      <name val="Calibri Light"/>
      <family val="2"/>
      <scheme val="major"/>
    </font>
    <font>
      <sz val="10"/>
      <color theme="1" tint="0.14996795556505021"/>
      <name val="Calibri Light"/>
      <scheme val="major"/>
    </font>
    <font>
      <sz val="10"/>
      <color theme="1"/>
      <name val="Calibri Light"/>
      <scheme val="maj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theme="1" tint="0.14996795556505021"/>
      </bottom>
      <diagonal/>
    </border>
    <border>
      <left/>
      <right/>
      <top/>
      <bottom style="thin">
        <color theme="0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thin">
        <color theme="0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otted">
        <color theme="0" tint="-0.34998626667073579"/>
      </right>
      <top/>
      <bottom style="medium">
        <color theme="4" tint="0.39994506668294322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4" tint="0.39994506668294322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dotted">
        <color theme="0" tint="-0.34998626667073579"/>
      </left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164" fontId="20" fillId="0" borderId="73">
      <alignment horizontal="right" vertical="center" wrapText="1" indent="1"/>
    </xf>
    <xf numFmtId="166" fontId="25" fillId="8" borderId="78" applyFont="0" applyAlignment="0">
      <alignment vertical="center"/>
    </xf>
    <xf numFmtId="0" fontId="29" fillId="0" borderId="0" applyNumberFormat="0" applyFill="0" applyBorder="0" applyAlignment="0" applyProtection="0"/>
  </cellStyleXfs>
  <cellXfs count="303">
    <xf numFmtId="0" fontId="0" fillId="0" borderId="0" xfId="0"/>
    <xf numFmtId="0" fontId="3" fillId="0" borderId="0" xfId="1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9" fillId="4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3" fontId="7" fillId="0" borderId="21" xfId="0" applyNumberFormat="1" applyFont="1" applyBorder="1"/>
    <xf numFmtId="0" fontId="9" fillId="4" borderId="23" xfId="0" applyFont="1" applyFill="1" applyBorder="1"/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0" borderId="27" xfId="0" applyNumberFormat="1" applyFont="1" applyBorder="1"/>
    <xf numFmtId="3" fontId="7" fillId="0" borderId="28" xfId="0" applyNumberFormat="1" applyFont="1" applyBorder="1"/>
    <xf numFmtId="0" fontId="9" fillId="3" borderId="0" xfId="0" applyFont="1" applyFill="1"/>
    <xf numFmtId="3" fontId="9" fillId="3" borderId="26" xfId="0" applyNumberFormat="1" applyFont="1" applyFill="1" applyBorder="1"/>
    <xf numFmtId="3" fontId="9" fillId="3" borderId="28" xfId="0" applyNumberFormat="1" applyFont="1" applyFill="1" applyBorder="1"/>
    <xf numFmtId="3" fontId="9" fillId="3" borderId="27" xfId="0" applyNumberFormat="1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9" fillId="0" borderId="0" xfId="0" applyFont="1" applyFill="1"/>
    <xf numFmtId="0" fontId="7" fillId="2" borderId="32" xfId="0" applyFont="1" applyFill="1" applyBorder="1"/>
    <xf numFmtId="0" fontId="7" fillId="2" borderId="33" xfId="0" applyFont="1" applyFill="1" applyBorder="1"/>
    <xf numFmtId="0" fontId="7" fillId="2" borderId="34" xfId="0" applyFont="1" applyFill="1" applyBorder="1"/>
    <xf numFmtId="0" fontId="9" fillId="4" borderId="35" xfId="0" applyFont="1" applyFill="1" applyBorder="1"/>
    <xf numFmtId="0" fontId="9" fillId="4" borderId="36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3" fontId="7" fillId="0" borderId="38" xfId="0" applyNumberFormat="1" applyFont="1" applyBorder="1"/>
    <xf numFmtId="0" fontId="7" fillId="0" borderId="40" xfId="0" applyFont="1" applyBorder="1"/>
    <xf numFmtId="3" fontId="7" fillId="0" borderId="41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0" fontId="9" fillId="3" borderId="8" xfId="0" applyFont="1" applyFill="1" applyBorder="1"/>
    <xf numFmtId="3" fontId="9" fillId="3" borderId="8" xfId="0" applyNumberFormat="1" applyFont="1" applyFill="1" applyBorder="1"/>
    <xf numFmtId="3" fontId="9" fillId="3" borderId="13" xfId="0" applyNumberFormat="1" applyFont="1" applyFill="1" applyBorder="1"/>
    <xf numFmtId="3" fontId="9" fillId="3" borderId="12" xfId="0" applyNumberFormat="1" applyFont="1" applyFill="1" applyBorder="1"/>
    <xf numFmtId="0" fontId="7" fillId="0" borderId="42" xfId="0" applyFont="1" applyBorder="1"/>
    <xf numFmtId="3" fontId="7" fillId="0" borderId="43" xfId="0" applyNumberFormat="1" applyFont="1" applyBorder="1" applyAlignment="1">
      <alignment horizontal="right"/>
    </xf>
    <xf numFmtId="3" fontId="7" fillId="0" borderId="38" xfId="0" applyNumberFormat="1" applyFont="1" applyBorder="1" applyAlignment="1">
      <alignment horizontal="right"/>
    </xf>
    <xf numFmtId="3" fontId="7" fillId="0" borderId="0" xfId="0" applyNumberFormat="1" applyFont="1"/>
    <xf numFmtId="0" fontId="9" fillId="5" borderId="35" xfId="0" applyFont="1" applyFill="1" applyBorder="1"/>
    <xf numFmtId="3" fontId="9" fillId="5" borderId="36" xfId="0" applyNumberFormat="1" applyFont="1" applyFill="1" applyBorder="1" applyAlignment="1">
      <alignment horizontal="right"/>
    </xf>
    <xf numFmtId="3" fontId="9" fillId="5" borderId="13" xfId="0" applyNumberFormat="1" applyFont="1" applyFill="1" applyBorder="1" applyAlignment="1">
      <alignment horizontal="right"/>
    </xf>
    <xf numFmtId="0" fontId="9" fillId="0" borderId="6" xfId="0" applyFont="1" applyBorder="1"/>
    <xf numFmtId="3" fontId="9" fillId="0" borderId="0" xfId="0" applyNumberFormat="1" applyFont="1" applyBorder="1"/>
    <xf numFmtId="3" fontId="7" fillId="0" borderId="45" xfId="0" applyNumberFormat="1" applyFont="1" applyBorder="1"/>
    <xf numFmtId="3" fontId="7" fillId="0" borderId="47" xfId="0" applyNumberFormat="1" applyFont="1" applyBorder="1"/>
    <xf numFmtId="0" fontId="7" fillId="0" borderId="48" xfId="0" applyFont="1" applyBorder="1"/>
    <xf numFmtId="3" fontId="7" fillId="0" borderId="49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0" fontId="7" fillId="2" borderId="50" xfId="0" applyFont="1" applyFill="1" applyBorder="1"/>
    <xf numFmtId="0" fontId="7" fillId="2" borderId="0" xfId="0" applyFont="1" applyFill="1" applyBorder="1"/>
    <xf numFmtId="0" fontId="7" fillId="2" borderId="51" xfId="0" applyFont="1" applyFill="1" applyBorder="1"/>
    <xf numFmtId="0" fontId="7" fillId="0" borderId="52" xfId="0" applyFont="1" applyBorder="1"/>
    <xf numFmtId="3" fontId="7" fillId="0" borderId="53" xfId="0" applyNumberFormat="1" applyFont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7" fillId="0" borderId="54" xfId="0" applyNumberFormat="1" applyFont="1" applyFill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56" xfId="0" applyNumberFormat="1" applyFont="1" applyBorder="1"/>
    <xf numFmtId="3" fontId="7" fillId="0" borderId="25" xfId="0" applyNumberFormat="1" applyFont="1" applyBorder="1"/>
    <xf numFmtId="3" fontId="9" fillId="3" borderId="5" xfId="0" applyNumberFormat="1" applyFont="1" applyFill="1" applyBorder="1"/>
    <xf numFmtId="3" fontId="9" fillId="3" borderId="57" xfId="0" applyNumberFormat="1" applyFont="1" applyFill="1" applyBorder="1"/>
    <xf numFmtId="3" fontId="9" fillId="3" borderId="14" xfId="0" applyNumberFormat="1" applyFont="1" applyFill="1" applyBorder="1"/>
    <xf numFmtId="3" fontId="9" fillId="3" borderId="44" xfId="0" applyNumberFormat="1" applyFont="1" applyFill="1" applyBorder="1"/>
    <xf numFmtId="3" fontId="9" fillId="3" borderId="47" xfId="0" applyNumberFormat="1" applyFont="1" applyFill="1" applyBorder="1"/>
    <xf numFmtId="3" fontId="9" fillId="3" borderId="46" xfId="0" applyNumberFormat="1" applyFont="1" applyFill="1" applyBorder="1"/>
    <xf numFmtId="3" fontId="9" fillId="3" borderId="48" xfId="0" applyNumberFormat="1" applyFont="1" applyFill="1" applyBorder="1"/>
    <xf numFmtId="49" fontId="7" fillId="0" borderId="0" xfId="0" applyNumberFormat="1" applyFont="1"/>
    <xf numFmtId="3" fontId="9" fillId="3" borderId="55" xfId="0" applyNumberFormat="1" applyFont="1" applyFill="1" applyBorder="1"/>
    <xf numFmtId="3" fontId="9" fillId="3" borderId="25" xfId="0" applyNumberFormat="1" applyFont="1" applyFill="1" applyBorder="1"/>
    <xf numFmtId="3" fontId="9" fillId="3" borderId="24" xfId="0" applyNumberFormat="1" applyFont="1" applyFill="1" applyBorder="1"/>
    <xf numFmtId="3" fontId="9" fillId="0" borderId="0" xfId="0" applyNumberFormat="1" applyFont="1" applyFill="1"/>
    <xf numFmtId="0" fontId="9" fillId="0" borderId="0" xfId="0" applyFont="1" applyFill="1" applyBorder="1"/>
    <xf numFmtId="0" fontId="9" fillId="3" borderId="46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3" fontId="9" fillId="3" borderId="60" xfId="0" applyNumberFormat="1" applyFont="1" applyFill="1" applyBorder="1"/>
    <xf numFmtId="3" fontId="9" fillId="3" borderId="21" xfId="0" applyNumberFormat="1" applyFont="1" applyFill="1" applyBorder="1"/>
    <xf numFmtId="3" fontId="9" fillId="3" borderId="24" xfId="0" applyNumberFormat="1" applyFont="1" applyFill="1" applyBorder="1" applyAlignment="1">
      <alignment horizontal="right"/>
    </xf>
    <xf numFmtId="3" fontId="9" fillId="3" borderId="25" xfId="0" applyNumberFormat="1" applyFont="1" applyFill="1" applyBorder="1" applyAlignment="1">
      <alignment horizontal="right"/>
    </xf>
    <xf numFmtId="3" fontId="9" fillId="0" borderId="28" xfId="0" applyNumberFormat="1" applyFont="1" applyFill="1" applyBorder="1"/>
    <xf numFmtId="3" fontId="9" fillId="6" borderId="20" xfId="0" applyNumberFormat="1" applyFont="1" applyFill="1" applyBorder="1"/>
    <xf numFmtId="3" fontId="9" fillId="0" borderId="61" xfId="0" applyNumberFormat="1" applyFont="1" applyFill="1" applyBorder="1"/>
    <xf numFmtId="3" fontId="9" fillId="0" borderId="28" xfId="0" applyNumberFormat="1" applyFont="1" applyBorder="1"/>
    <xf numFmtId="3" fontId="9" fillId="0" borderId="27" xfId="0" applyNumberFormat="1" applyFont="1" applyBorder="1"/>
    <xf numFmtId="3" fontId="9" fillId="0" borderId="62" xfId="0" applyNumberFormat="1" applyFont="1" applyBorder="1"/>
    <xf numFmtId="3" fontId="9" fillId="0" borderId="25" xfId="0" applyNumberFormat="1" applyFont="1" applyBorder="1"/>
    <xf numFmtId="3" fontId="9" fillId="0" borderId="24" xfId="0" applyNumberFormat="1" applyFont="1" applyBorder="1"/>
    <xf numFmtId="3" fontId="9" fillId="0" borderId="63" xfId="0" applyNumberFormat="1" applyFont="1" applyBorder="1"/>
    <xf numFmtId="0" fontId="9" fillId="6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7" fillId="0" borderId="0" xfId="0" applyFont="1" applyBorder="1"/>
    <xf numFmtId="3" fontId="12" fillId="2" borderId="65" xfId="0" applyNumberFormat="1" applyFont="1" applyFill="1" applyBorder="1"/>
    <xf numFmtId="0" fontId="12" fillId="0" borderId="6" xfId="0" applyFont="1" applyBorder="1"/>
    <xf numFmtId="3" fontId="13" fillId="5" borderId="11" xfId="0" applyNumberFormat="1" applyFont="1" applyFill="1" applyBorder="1"/>
    <xf numFmtId="0" fontId="13" fillId="0" borderId="0" xfId="0" applyFont="1"/>
    <xf numFmtId="3" fontId="13" fillId="0" borderId="0" xfId="0" applyNumberFormat="1" applyFont="1" applyBorder="1"/>
    <xf numFmtId="3" fontId="12" fillId="0" borderId="0" xfId="0" applyNumberFormat="1" applyFont="1" applyBorder="1"/>
    <xf numFmtId="0" fontId="12" fillId="0" borderId="0" xfId="0" applyFont="1" applyAlignment="1">
      <alignment horizontal="right"/>
    </xf>
    <xf numFmtId="3" fontId="12" fillId="2" borderId="11" xfId="0" applyNumberFormat="1" applyFont="1" applyFill="1" applyBorder="1"/>
    <xf numFmtId="0" fontId="12" fillId="2" borderId="29" xfId="0" applyFont="1" applyFill="1" applyBorder="1"/>
    <xf numFmtId="0" fontId="12" fillId="2" borderId="30" xfId="0" applyFont="1" applyFill="1" applyBorder="1"/>
    <xf numFmtId="0" fontId="12" fillId="2" borderId="50" xfId="0" applyFont="1" applyFill="1" applyBorder="1"/>
    <xf numFmtId="0" fontId="12" fillId="2" borderId="0" xfId="0" applyFont="1" applyFill="1" applyBorder="1"/>
    <xf numFmtId="0" fontId="12" fillId="2" borderId="32" xfId="0" applyFont="1" applyFill="1" applyBorder="1"/>
    <xf numFmtId="0" fontId="12" fillId="2" borderId="33" xfId="0" applyFont="1" applyFill="1" applyBorder="1"/>
    <xf numFmtId="0" fontId="12" fillId="0" borderId="0" xfId="0" applyFont="1" applyBorder="1"/>
    <xf numFmtId="0" fontId="12" fillId="0" borderId="64" xfId="0" applyFont="1" applyBorder="1"/>
    <xf numFmtId="0" fontId="12" fillId="0" borderId="44" xfId="0" applyFont="1" applyBorder="1"/>
    <xf numFmtId="0" fontId="12" fillId="0" borderId="47" xfId="0" applyFont="1" applyBorder="1"/>
    <xf numFmtId="0" fontId="13" fillId="4" borderId="66" xfId="0" applyFont="1" applyFill="1" applyBorder="1" applyAlignment="1">
      <alignment horizontal="center"/>
    </xf>
    <xf numFmtId="0" fontId="12" fillId="4" borderId="23" xfId="0" applyFont="1" applyFill="1" applyBorder="1"/>
    <xf numFmtId="0" fontId="13" fillId="4" borderId="55" xfId="0" applyFont="1" applyFill="1" applyBorder="1"/>
    <xf numFmtId="0" fontId="13" fillId="4" borderId="25" xfId="0" applyFont="1" applyFill="1" applyBorder="1" applyAlignment="1">
      <alignment horizontal="center"/>
    </xf>
    <xf numFmtId="0" fontId="13" fillId="4" borderId="67" xfId="0" applyFont="1" applyFill="1" applyBorder="1"/>
    <xf numFmtId="0" fontId="13" fillId="2" borderId="11" xfId="0" applyFont="1" applyFill="1" applyBorder="1"/>
    <xf numFmtId="0" fontId="12" fillId="0" borderId="13" xfId="0" applyFont="1" applyBorder="1"/>
    <xf numFmtId="0" fontId="12" fillId="0" borderId="66" xfId="0" applyFont="1" applyBorder="1"/>
    <xf numFmtId="0" fontId="12" fillId="0" borderId="19" xfId="0" applyFont="1" applyBorder="1"/>
    <xf numFmtId="0" fontId="12" fillId="0" borderId="40" xfId="0" applyFont="1" applyBorder="1" applyAlignment="1">
      <alignment horizontal="right"/>
    </xf>
    <xf numFmtId="2" fontId="12" fillId="2" borderId="21" xfId="0" applyNumberFormat="1" applyFont="1" applyFill="1" applyBorder="1" applyAlignment="1">
      <alignment horizontal="right"/>
    </xf>
    <xf numFmtId="2" fontId="12" fillId="2" borderId="21" xfId="0" applyNumberFormat="1" applyFont="1" applyFill="1" applyBorder="1"/>
    <xf numFmtId="0" fontId="12" fillId="0" borderId="67" xfId="0" applyFont="1" applyBorder="1"/>
    <xf numFmtId="0" fontId="12" fillId="0" borderId="65" xfId="0" applyFont="1" applyBorder="1"/>
    <xf numFmtId="0" fontId="12" fillId="0" borderId="55" xfId="0" applyFont="1" applyBorder="1" applyAlignment="1">
      <alignment horizontal="right"/>
    </xf>
    <xf numFmtId="2" fontId="12" fillId="2" borderId="25" xfId="0" applyNumberFormat="1" applyFont="1" applyFill="1" applyBorder="1" applyAlignment="1">
      <alignment horizontal="right"/>
    </xf>
    <xf numFmtId="2" fontId="12" fillId="2" borderId="25" xfId="0" applyNumberFormat="1" applyFont="1" applyFill="1" applyBorder="1"/>
    <xf numFmtId="0" fontId="12" fillId="0" borderId="68" xfId="0" applyFont="1" applyBorder="1"/>
    <xf numFmtId="0" fontId="13" fillId="0" borderId="40" xfId="0" applyFont="1" applyBorder="1" applyAlignment="1">
      <alignment horizontal="right"/>
    </xf>
    <xf numFmtId="2" fontId="13" fillId="0" borderId="21" xfId="0" applyNumberFormat="1" applyFont="1" applyBorder="1" applyAlignment="1">
      <alignment horizontal="right"/>
    </xf>
    <xf numFmtId="2" fontId="13" fillId="0" borderId="21" xfId="0" applyNumberFormat="1" applyFont="1" applyBorder="1"/>
    <xf numFmtId="0" fontId="12" fillId="0" borderId="69" xfId="0" applyFont="1" applyBorder="1"/>
    <xf numFmtId="0" fontId="13" fillId="0" borderId="52" xfId="0" applyFont="1" applyBorder="1" applyAlignment="1">
      <alignment horizontal="right"/>
    </xf>
    <xf numFmtId="2" fontId="13" fillId="0" borderId="54" xfId="0" applyNumberFormat="1" applyFont="1" applyBorder="1" applyAlignment="1">
      <alignment horizontal="right"/>
    </xf>
    <xf numFmtId="2" fontId="13" fillId="0" borderId="54" xfId="0" applyNumberFormat="1" applyFont="1" applyBorder="1"/>
    <xf numFmtId="0" fontId="13" fillId="4" borderId="11" xfId="0" applyFont="1" applyFill="1" applyBorder="1"/>
    <xf numFmtId="0" fontId="13" fillId="4" borderId="35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right"/>
    </xf>
    <xf numFmtId="0" fontId="12" fillId="4" borderId="13" xfId="0" applyFont="1" applyFill="1" applyBorder="1"/>
    <xf numFmtId="0" fontId="13" fillId="4" borderId="65" xfId="0" applyFont="1" applyFill="1" applyBorder="1" applyAlignment="1">
      <alignment horizontal="center"/>
    </xf>
    <xf numFmtId="0" fontId="12" fillId="2" borderId="19" xfId="0" applyFont="1" applyFill="1" applyBorder="1"/>
    <xf numFmtId="0" fontId="12" fillId="2" borderId="40" xfId="0" applyFont="1" applyFill="1" applyBorder="1" applyAlignment="1">
      <alignment horizontal="center"/>
    </xf>
    <xf numFmtId="4" fontId="12" fillId="0" borderId="21" xfId="0" applyNumberFormat="1" applyFont="1" applyFill="1" applyBorder="1" applyAlignment="1">
      <alignment horizontal="right"/>
    </xf>
    <xf numFmtId="4" fontId="12" fillId="0" borderId="21" xfId="0" applyNumberFormat="1" applyFont="1" applyBorder="1"/>
    <xf numFmtId="4" fontId="12" fillId="0" borderId="65" xfId="0" applyNumberFormat="1" applyFont="1" applyBorder="1"/>
    <xf numFmtId="0" fontId="12" fillId="2" borderId="65" xfId="0" applyFont="1" applyFill="1" applyBorder="1"/>
    <xf numFmtId="0" fontId="12" fillId="2" borderId="48" xfId="0" applyFont="1" applyFill="1" applyBorder="1" applyAlignment="1">
      <alignment horizontal="center"/>
    </xf>
    <xf numFmtId="4" fontId="12" fillId="0" borderId="28" xfId="0" applyNumberFormat="1" applyFont="1" applyFill="1" applyBorder="1" applyAlignment="1">
      <alignment horizontal="right"/>
    </xf>
    <xf numFmtId="4" fontId="12" fillId="0" borderId="28" xfId="0" applyNumberFormat="1" applyFont="1" applyBorder="1"/>
    <xf numFmtId="0" fontId="12" fillId="2" borderId="69" xfId="0" applyFont="1" applyFill="1" applyBorder="1"/>
    <xf numFmtId="0" fontId="12" fillId="2" borderId="42" xfId="0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right"/>
    </xf>
    <xf numFmtId="4" fontId="12" fillId="0" borderId="38" xfId="0" applyNumberFormat="1" applyFont="1" applyBorder="1"/>
    <xf numFmtId="0" fontId="13" fillId="0" borderId="64" xfId="0" applyFont="1" applyBorder="1"/>
    <xf numFmtId="0" fontId="13" fillId="0" borderId="44" xfId="0" applyFont="1" applyBorder="1" applyAlignment="1">
      <alignment horizontal="center"/>
    </xf>
    <xf numFmtId="4" fontId="13" fillId="0" borderId="47" xfId="0" applyNumberFormat="1" applyFont="1" applyBorder="1" applyAlignment="1">
      <alignment horizontal="right"/>
    </xf>
    <xf numFmtId="0" fontId="13" fillId="0" borderId="44" xfId="0" applyFont="1" applyBorder="1"/>
    <xf numFmtId="4" fontId="13" fillId="0" borderId="47" xfId="0" applyNumberFormat="1" applyFont="1" applyBorder="1"/>
    <xf numFmtId="4" fontId="13" fillId="0" borderId="65" xfId="0" applyNumberFormat="1" applyFont="1" applyBorder="1"/>
    <xf numFmtId="0" fontId="13" fillId="0" borderId="69" xfId="0" applyFont="1" applyBorder="1"/>
    <xf numFmtId="0" fontId="13" fillId="0" borderId="42" xfId="0" applyFont="1" applyBorder="1" applyAlignment="1">
      <alignment horizontal="center"/>
    </xf>
    <xf numFmtId="4" fontId="13" fillId="0" borderId="38" xfId="0" applyNumberFormat="1" applyFont="1" applyBorder="1" applyAlignment="1">
      <alignment horizontal="right"/>
    </xf>
    <xf numFmtId="4" fontId="13" fillId="0" borderId="38" xfId="0" applyNumberFormat="1" applyFont="1" applyBorder="1"/>
    <xf numFmtId="4" fontId="13" fillId="0" borderId="69" xfId="0" applyNumberFormat="1" applyFont="1" applyBorder="1"/>
    <xf numFmtId="0" fontId="13" fillId="0" borderId="23" xfId="0" applyFont="1" applyBorder="1"/>
    <xf numFmtId="0" fontId="13" fillId="0" borderId="55" xfId="0" applyFont="1" applyBorder="1" applyAlignment="1">
      <alignment horizontal="center"/>
    </xf>
    <xf numFmtId="4" fontId="13" fillId="0" borderId="25" xfId="0" applyNumberFormat="1" applyFont="1" applyBorder="1" applyAlignment="1">
      <alignment horizontal="right"/>
    </xf>
    <xf numFmtId="4" fontId="13" fillId="0" borderId="25" xfId="0" applyNumberFormat="1" applyFont="1" applyBorder="1"/>
    <xf numFmtId="4" fontId="13" fillId="0" borderId="23" xfId="0" applyNumberFormat="1" applyFont="1" applyBorder="1"/>
    <xf numFmtId="0" fontId="12" fillId="4" borderId="35" xfId="0" applyFont="1" applyFill="1" applyBorder="1"/>
    <xf numFmtId="0" fontId="13" fillId="4" borderId="36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2" fillId="4" borderId="40" xfId="0" applyFont="1" applyFill="1" applyBorder="1"/>
    <xf numFmtId="3" fontId="12" fillId="0" borderId="41" xfId="0" applyNumberFormat="1" applyFont="1" applyBorder="1"/>
    <xf numFmtId="3" fontId="12" fillId="0" borderId="21" xfId="0" applyNumberFormat="1" applyFont="1" applyBorder="1"/>
    <xf numFmtId="0" fontId="12" fillId="4" borderId="48" xfId="0" applyFont="1" applyFill="1" applyBorder="1"/>
    <xf numFmtId="3" fontId="12" fillId="0" borderId="49" xfId="0" applyNumberFormat="1" applyFont="1" applyBorder="1"/>
    <xf numFmtId="3" fontId="12" fillId="0" borderId="28" xfId="0" applyNumberFormat="1" applyFont="1" applyBorder="1"/>
    <xf numFmtId="3" fontId="12" fillId="0" borderId="43" xfId="0" applyNumberFormat="1" applyFont="1" applyBorder="1"/>
    <xf numFmtId="0" fontId="12" fillId="6" borderId="26" xfId="0" applyFont="1" applyFill="1" applyBorder="1" applyAlignment="1">
      <alignment wrapText="1"/>
    </xf>
    <xf numFmtId="3" fontId="12" fillId="6" borderId="11" xfId="0" applyNumberFormat="1" applyFont="1" applyFill="1" applyBorder="1" applyAlignment="1">
      <alignment vertical="center"/>
    </xf>
    <xf numFmtId="3" fontId="12" fillId="0" borderId="62" xfId="0" applyNumberFormat="1" applyFont="1" applyFill="1" applyBorder="1" applyAlignment="1">
      <alignment vertical="center"/>
    </xf>
    <xf numFmtId="0" fontId="12" fillId="4" borderId="48" xfId="0" applyFont="1" applyFill="1" applyBorder="1" applyAlignment="1">
      <alignment wrapText="1"/>
    </xf>
    <xf numFmtId="0" fontId="12" fillId="4" borderId="55" xfId="0" applyFont="1" applyFill="1" applyBorder="1" applyAlignment="1">
      <alignment wrapText="1"/>
    </xf>
    <xf numFmtId="3" fontId="12" fillId="0" borderId="56" xfId="0" applyNumberFormat="1" applyFont="1" applyBorder="1"/>
    <xf numFmtId="3" fontId="12" fillId="0" borderId="25" xfId="0" applyNumberFormat="1" applyFont="1" applyBorder="1"/>
    <xf numFmtId="0" fontId="12" fillId="0" borderId="0" xfId="0" applyFont="1" applyFill="1" applyAlignment="1">
      <alignment horizontal="center"/>
    </xf>
    <xf numFmtId="0" fontId="12" fillId="6" borderId="0" xfId="0" applyFont="1" applyFill="1"/>
    <xf numFmtId="0" fontId="12" fillId="0" borderId="0" xfId="0" applyFont="1" applyFill="1"/>
    <xf numFmtId="0" fontId="3" fillId="0" borderId="70" xfId="1" applyFont="1" applyBorder="1"/>
    <xf numFmtId="0" fontId="14" fillId="0" borderId="70" xfId="0" applyFont="1" applyBorder="1" applyAlignment="1">
      <alignment vertical="center"/>
    </xf>
    <xf numFmtId="0" fontId="15" fillId="0" borderId="70" xfId="0" applyFont="1" applyBorder="1" applyAlignment="1">
      <alignment horizontal="right"/>
    </xf>
    <xf numFmtId="0" fontId="16" fillId="0" borderId="7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7" borderId="71" xfId="0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72" xfId="2" applyFont="1" applyBorder="1" applyAlignment="1">
      <alignment vertical="center"/>
    </xf>
    <xf numFmtId="3" fontId="19" fillId="0" borderId="73" xfId="0" applyNumberFormat="1" applyFont="1" applyBorder="1" applyAlignment="1">
      <alignment horizontal="center" vertical="center" wrapText="1"/>
    </xf>
    <xf numFmtId="164" fontId="17" fillId="0" borderId="73" xfId="3" applyFont="1" applyAlignment="1">
      <alignment horizontal="center" vertical="center"/>
    </xf>
    <xf numFmtId="164" fontId="19" fillId="7" borderId="74" xfId="0" applyNumberFormat="1" applyFont="1" applyFill="1" applyBorder="1" applyAlignment="1">
      <alignment horizontal="right" vertical="center" wrapText="1" indent="1"/>
    </xf>
    <xf numFmtId="14" fontId="19" fillId="0" borderId="1" xfId="0" applyNumberFormat="1" applyFont="1" applyBorder="1" applyAlignment="1">
      <alignment horizontal="left" vertical="center" indent="1"/>
    </xf>
    <xf numFmtId="3" fontId="19" fillId="0" borderId="75" xfId="0" applyNumberFormat="1" applyFont="1" applyBorder="1" applyAlignment="1">
      <alignment horizontal="right" wrapText="1" indent="1"/>
    </xf>
    <xf numFmtId="165" fontId="19" fillId="0" borderId="75" xfId="0" applyNumberFormat="1" applyFont="1" applyBorder="1" applyAlignment="1">
      <alignment horizontal="center" wrapText="1"/>
    </xf>
    <xf numFmtId="165" fontId="21" fillId="7" borderId="74" xfId="0" applyNumberFormat="1" applyFont="1" applyFill="1" applyBorder="1" applyAlignment="1">
      <alignment horizontal="right" wrapText="1" indent="1"/>
    </xf>
    <xf numFmtId="3" fontId="21" fillId="0" borderId="73" xfId="0" applyNumberFormat="1" applyFont="1" applyBorder="1" applyAlignment="1">
      <alignment horizontal="center" wrapText="1"/>
    </xf>
    <xf numFmtId="14" fontId="21" fillId="0" borderId="0" xfId="0" applyNumberFormat="1" applyFont="1" applyAlignment="1">
      <alignment horizontal="left" vertical="center" indent="1"/>
    </xf>
    <xf numFmtId="3" fontId="21" fillId="0" borderId="0" xfId="0" applyNumberFormat="1" applyFont="1" applyAlignment="1">
      <alignment horizontal="right" wrapText="1" indent="1"/>
    </xf>
    <xf numFmtId="165" fontId="21" fillId="0" borderId="0" xfId="0" applyNumberFormat="1" applyFont="1" applyAlignment="1">
      <alignment horizontal="right" wrapText="1" indent="1"/>
    </xf>
    <xf numFmtId="165" fontId="21" fillId="7" borderId="76" xfId="0" applyNumberFormat="1" applyFont="1" applyFill="1" applyBorder="1" applyAlignment="1">
      <alignment horizontal="right" wrapText="1" indent="1"/>
    </xf>
    <xf numFmtId="166" fontId="22" fillId="0" borderId="77" xfId="2" applyNumberFormat="1" applyFont="1" applyBorder="1" applyAlignment="1">
      <alignment horizontal="left" vertical="center" wrapText="1"/>
    </xf>
    <xf numFmtId="3" fontId="21" fillId="0" borderId="78" xfId="0" applyNumberFormat="1" applyFont="1" applyBorder="1" applyAlignment="1">
      <alignment horizontal="right" vertical="center"/>
    </xf>
    <xf numFmtId="166" fontId="21" fillId="7" borderId="74" xfId="0" applyNumberFormat="1" applyFont="1" applyFill="1" applyBorder="1" applyAlignment="1">
      <alignment horizontal="right"/>
    </xf>
    <xf numFmtId="0" fontId="23" fillId="0" borderId="78" xfId="0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16" fillId="7" borderId="76" xfId="0" applyFont="1" applyFill="1" applyBorder="1" applyAlignment="1">
      <alignment vertical="center"/>
    </xf>
    <xf numFmtId="0" fontId="22" fillId="0" borderId="1" xfId="2" applyFont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6" fontId="24" fillId="0" borderId="0" xfId="0" applyNumberFormat="1" applyFont="1" applyAlignment="1">
      <alignment horizontal="left" vertical="center" indent="1"/>
    </xf>
    <xf numFmtId="3" fontId="16" fillId="0" borderId="0" xfId="0" applyNumberFormat="1" applyFont="1" applyAlignment="1">
      <alignment horizontal="right" vertical="center"/>
    </xf>
    <xf numFmtId="166" fontId="16" fillId="7" borderId="76" xfId="0" applyNumberFormat="1" applyFont="1" applyFill="1" applyBorder="1" applyAlignment="1">
      <alignment vertical="center"/>
    </xf>
    <xf numFmtId="0" fontId="16" fillId="7" borderId="79" xfId="0" applyFont="1" applyFill="1" applyBorder="1" applyAlignment="1">
      <alignment vertical="center"/>
    </xf>
    <xf numFmtId="0" fontId="16" fillId="7" borderId="80" xfId="0" applyFont="1" applyFill="1" applyBorder="1" applyAlignment="1">
      <alignment vertical="center"/>
    </xf>
    <xf numFmtId="166" fontId="22" fillId="8" borderId="77" xfId="2" applyNumberFormat="1" applyFont="1" applyFill="1" applyBorder="1" applyAlignment="1">
      <alignment horizontal="left" vertical="center"/>
    </xf>
    <xf numFmtId="0" fontId="16" fillId="7" borderId="0" xfId="0" applyFont="1" applyFill="1" applyAlignment="1">
      <alignment vertical="center"/>
    </xf>
    <xf numFmtId="3" fontId="21" fillId="8" borderId="78" xfId="4" applyNumberFormat="1" applyFont="1">
      <alignment vertical="center"/>
    </xf>
    <xf numFmtId="166" fontId="21" fillId="7" borderId="81" xfId="0" applyNumberFormat="1" applyFont="1" applyFill="1" applyBorder="1" applyAlignment="1">
      <alignment vertical="center"/>
    </xf>
    <xf numFmtId="0" fontId="16" fillId="0" borderId="78" xfId="0" applyFont="1" applyBorder="1" applyAlignment="1">
      <alignment vertical="center"/>
    </xf>
    <xf numFmtId="0" fontId="22" fillId="0" borderId="1" xfId="2" applyFont="1" applyAlignment="1">
      <alignment horizontal="left"/>
    </xf>
    <xf numFmtId="0" fontId="24" fillId="0" borderId="0" xfId="0" applyFont="1" applyAlignment="1">
      <alignment horizontal="left" vertical="center" indent="1"/>
    </xf>
    <xf numFmtId="3" fontId="16" fillId="0" borderId="0" xfId="0" applyNumberFormat="1" applyFont="1" applyFill="1" applyAlignment="1">
      <alignment horizontal="right" vertical="center"/>
    </xf>
    <xf numFmtId="3" fontId="16" fillId="0" borderId="76" xfId="0" applyNumberFormat="1" applyFont="1" applyFill="1" applyBorder="1" applyAlignment="1">
      <alignment vertical="center"/>
    </xf>
    <xf numFmtId="3" fontId="16" fillId="7" borderId="76" xfId="0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center" indent="1"/>
    </xf>
    <xf numFmtId="167" fontId="21" fillId="8" borderId="78" xfId="4" applyNumberFormat="1" applyFont="1">
      <alignment vertical="center"/>
    </xf>
    <xf numFmtId="0" fontId="23" fillId="0" borderId="77" xfId="0" applyFont="1" applyBorder="1"/>
    <xf numFmtId="0" fontId="26" fillId="0" borderId="0" xfId="0" applyFont="1" applyAlignment="1">
      <alignment vertical="center"/>
    </xf>
    <xf numFmtId="0" fontId="7" fillId="6" borderId="0" xfId="0" applyFont="1" applyFill="1"/>
    <xf numFmtId="3" fontId="7" fillId="9" borderId="22" xfId="0" applyNumberFormat="1" applyFont="1" applyFill="1" applyBorder="1"/>
    <xf numFmtId="3" fontId="7" fillId="9" borderId="26" xfId="0" applyNumberFormat="1" applyFont="1" applyFill="1" applyBorder="1"/>
    <xf numFmtId="3" fontId="7" fillId="9" borderId="37" xfId="0" applyNumberFormat="1" applyFont="1" applyFill="1" applyBorder="1"/>
    <xf numFmtId="3" fontId="7" fillId="9" borderId="44" xfId="0" applyNumberFormat="1" applyFont="1" applyFill="1" applyBorder="1"/>
    <xf numFmtId="3" fontId="7" fillId="9" borderId="48" xfId="0" applyNumberFormat="1" applyFont="1" applyFill="1" applyBorder="1"/>
    <xf numFmtId="3" fontId="7" fillId="9" borderId="55" xfId="0" applyNumberFormat="1" applyFont="1" applyFill="1" applyBorder="1"/>
    <xf numFmtId="3" fontId="7" fillId="9" borderId="46" xfId="0" applyNumberFormat="1" applyFont="1" applyFill="1" applyBorder="1"/>
    <xf numFmtId="3" fontId="7" fillId="9" borderId="27" xfId="0" applyNumberFormat="1" applyFont="1" applyFill="1" applyBorder="1"/>
    <xf numFmtId="3" fontId="7" fillId="9" borderId="24" xfId="0" applyNumberFormat="1" applyFont="1" applyFill="1" applyBorder="1"/>
    <xf numFmtId="3" fontId="7" fillId="9" borderId="20" xfId="0" applyNumberFormat="1" applyFont="1" applyFill="1" applyBorder="1"/>
    <xf numFmtId="3" fontId="7" fillId="9" borderId="39" xfId="0" applyNumberFormat="1" applyFont="1" applyFill="1" applyBorder="1"/>
    <xf numFmtId="3" fontId="12" fillId="9" borderId="64" xfId="0" applyNumberFormat="1" applyFont="1" applyFill="1" applyBorder="1"/>
    <xf numFmtId="3" fontId="12" fillId="9" borderId="65" xfId="0" applyNumberFormat="1" applyFont="1" applyFill="1" applyBorder="1"/>
    <xf numFmtId="3" fontId="12" fillId="9" borderId="23" xfId="0" applyNumberFormat="1" applyFont="1" applyFill="1" applyBorder="1"/>
    <xf numFmtId="0" fontId="12" fillId="10" borderId="19" xfId="0" applyFont="1" applyFill="1" applyBorder="1"/>
    <xf numFmtId="0" fontId="12" fillId="10" borderId="65" xfId="0" applyFont="1" applyFill="1" applyBorder="1"/>
    <xf numFmtId="0" fontId="27" fillId="0" borderId="0" xfId="0" applyFont="1" applyAlignment="1">
      <alignment horizontal="left" vertical="center" indent="1"/>
    </xf>
    <xf numFmtId="0" fontId="27" fillId="7" borderId="76" xfId="0" applyFont="1" applyFill="1" applyBorder="1" applyAlignment="1">
      <alignment vertical="center"/>
    </xf>
    <xf numFmtId="3" fontId="27" fillId="0" borderId="0" xfId="0" applyNumberFormat="1" applyFont="1" applyAlignment="1">
      <alignment vertical="center"/>
    </xf>
    <xf numFmtId="3" fontId="27" fillId="7" borderId="76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166" fontId="28" fillId="0" borderId="0" xfId="0" applyNumberFormat="1" applyFont="1" applyAlignment="1">
      <alignment horizontal="left" vertical="center" indent="1"/>
    </xf>
    <xf numFmtId="0" fontId="27" fillId="7" borderId="80" xfId="0" applyFont="1" applyFill="1" applyBorder="1" applyAlignment="1">
      <alignment vertical="center"/>
    </xf>
    <xf numFmtId="166" fontId="27" fillId="7" borderId="76" xfId="0" applyNumberFormat="1" applyFont="1" applyFill="1" applyBorder="1" applyAlignment="1">
      <alignment vertical="center"/>
    </xf>
    <xf numFmtId="0" fontId="29" fillId="0" borderId="0" xfId="5"/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3" fontId="9" fillId="3" borderId="58" xfId="0" applyNumberFormat="1" applyFont="1" applyFill="1" applyBorder="1" applyAlignment="1">
      <alignment horizontal="center"/>
    </xf>
    <xf numFmtId="3" fontId="9" fillId="3" borderId="59" xfId="0" applyNumberFormat="1" applyFont="1" applyFill="1" applyBorder="1" applyAlignment="1">
      <alignment horizontal="center"/>
    </xf>
    <xf numFmtId="0" fontId="7" fillId="9" borderId="16" xfId="0" applyFont="1" applyFill="1" applyBorder="1" applyAlignment="1">
      <alignment horizontal="left" vertical="top" wrapText="1"/>
    </xf>
    <xf numFmtId="0" fontId="7" fillId="9" borderId="17" xfId="0" applyFont="1" applyFill="1" applyBorder="1" applyAlignment="1">
      <alignment horizontal="left" vertical="top" wrapText="1"/>
    </xf>
    <xf numFmtId="0" fontId="7" fillId="9" borderId="18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6">
    <cellStyle name="Hyperlinkki" xfId="5" builtinId="8"/>
    <cellStyle name="Month" xfId="3"/>
    <cellStyle name="Normaali" xfId="0" builtinId="0"/>
    <cellStyle name="Otsikko" xfId="1" builtinId="15"/>
    <cellStyle name="Otsikko 1" xfId="2" builtinId="16"/>
    <cellStyle name="Totals" xfId="4"/>
  </cellStyles>
  <dxfs count="2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fill>
        <patternFill patternType="none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166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166" formatCode="0_);\-0_)"/>
      <fill>
        <patternFill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6" formatCode="0_);\-0_)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6" formatCode="0_);\-0_)"/>
      <alignment horizontal="lef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fill>
        <patternFill patternType="none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166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166" formatCode="0_);\-0_)"/>
      <fill>
        <patternFill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6" formatCode="0_);\-0_)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6" formatCode="0_);\-0_)"/>
      <alignment horizontal="lef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fill>
        <patternFill patternType="none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166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166" formatCode="0_);\-0_)"/>
      <fill>
        <patternFill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6" formatCode="0_);\-0_)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6" formatCode="0_);\-0_)"/>
      <alignment horizontal="lef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strike val="0"/>
        <outline val="0"/>
        <shadow val="0"/>
        <u val="none"/>
        <vertAlign val="baseline"/>
        <sz val="10"/>
        <name val="Calibri Light"/>
        <scheme val="major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  <border>
        <vertical/>
        <horizontal/>
      </border>
    </dxf>
    <dxf>
      <font>
        <color theme="1" tint="0.14996795556505021"/>
      </font>
    </dxf>
    <dxf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 tint="-0.34998626667073579"/>
        </top>
        <bottom style="dotted">
          <color theme="0" tint="-0.34998626667073579"/>
        </bottom>
        <vertical/>
        <horizontal/>
      </border>
    </dxf>
    <dxf>
      <font>
        <b val="0"/>
        <i val="0"/>
        <color theme="1" tint="0.34998626667073579"/>
      </font>
    </dxf>
    <dxf>
      <font>
        <b val="0"/>
        <i val="0"/>
        <color theme="1" tint="0.14996795556505021"/>
      </font>
      <fill>
        <patternFill patternType="solid">
          <bgColor theme="4" tint="0.79998168889431442"/>
        </patternFill>
      </fill>
      <border>
        <top/>
        <bottom style="medium">
          <color theme="4" tint="0.39994506668294322"/>
        </bottom>
      </border>
    </dxf>
    <dxf>
      <font>
        <b val="0"/>
        <i val="0"/>
        <color theme="1" tint="0.14996795556505021"/>
      </font>
    </dxf>
    <dxf>
      <font>
        <color theme="1" tint="0.499984740745262"/>
      </font>
      <border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dotted">
          <color theme="0" tint="-0.34998626667073579"/>
        </vertical>
        <horizontal style="thin">
          <color theme="0" tint="-0.34998626667073579"/>
        </horizontal>
      </border>
    </dxf>
    <dxf>
      <fill>
        <patternFill patternType="none">
          <bgColor auto="1"/>
        </patternFill>
      </fill>
      <border>
        <vertical/>
        <horizontal/>
      </border>
    </dxf>
    <dxf>
      <font>
        <color theme="1" tint="0.14996795556505021"/>
      </font>
    </dxf>
    <dxf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 tint="-0.34998626667073579"/>
        </top>
        <bottom style="dotted">
          <color theme="0" tint="-0.34998626667073579"/>
        </bottom>
        <vertical/>
        <horizontal/>
      </border>
    </dxf>
    <dxf>
      <font>
        <b val="0"/>
        <i val="0"/>
        <color theme="1" tint="0.34998626667073579"/>
      </font>
    </dxf>
    <dxf>
      <font>
        <b val="0"/>
        <i val="0"/>
        <color theme="1" tint="0.14996795556505021"/>
      </font>
      <fill>
        <patternFill patternType="solid">
          <bgColor theme="4" tint="0.79998168889431442"/>
        </patternFill>
      </fill>
      <border>
        <top/>
        <bottom style="medium">
          <color theme="4" tint="0.39994506668294322"/>
        </bottom>
      </border>
    </dxf>
    <dxf>
      <font>
        <b val="0"/>
        <i val="0"/>
        <color theme="1" tint="0.14996795556505021"/>
      </font>
    </dxf>
    <dxf>
      <font>
        <color theme="1" tint="0.499984740745262"/>
      </font>
      <border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dotted">
          <color theme="0" tint="-0.34998626667073579"/>
        </vertical>
        <horizontal style="thin">
          <color theme="0" tint="-0.34998626667073579"/>
        </horizontal>
      </border>
    </dxf>
    <dxf>
      <fill>
        <patternFill patternType="none">
          <bgColor auto="1"/>
        </patternFill>
      </fill>
      <border>
        <vertical/>
        <horizontal/>
      </border>
    </dxf>
    <dxf>
      <font>
        <color theme="1" tint="0.14996795556505021"/>
      </font>
    </dxf>
    <dxf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 tint="-0.34998626667073579"/>
        </top>
        <bottom style="dotted">
          <color theme="0" tint="-0.34998626667073579"/>
        </bottom>
        <vertical/>
        <horizontal/>
      </border>
    </dxf>
    <dxf>
      <font>
        <b val="0"/>
        <i val="0"/>
        <color theme="1" tint="0.34998626667073579"/>
      </font>
    </dxf>
    <dxf>
      <font>
        <b val="0"/>
        <i val="0"/>
        <color theme="1" tint="0.14996795556505021"/>
      </font>
      <fill>
        <patternFill patternType="solid">
          <bgColor theme="4" tint="0.79998168889431442"/>
        </patternFill>
      </fill>
      <border>
        <top/>
        <bottom style="medium">
          <color theme="4" tint="0.39994506668294322"/>
        </bottom>
      </border>
    </dxf>
    <dxf>
      <font>
        <b val="0"/>
        <i val="0"/>
        <color theme="1" tint="0.14996795556505021"/>
      </font>
    </dxf>
    <dxf>
      <font>
        <color theme="1" tint="0.499984740745262"/>
      </font>
      <border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dotted">
          <color theme="0" tint="-0.34998626667073579"/>
        </vertical>
        <horizontal style="thin">
          <color theme="0" tint="-0.34998626667073579"/>
        </horizontal>
      </border>
    </dxf>
  </dxfs>
  <tableStyles count="3" defaultTableStyle="TableStyleMedium2" defaultPivotStyle="PivotStyleLight16">
    <tableStyle name="Cash Receipts" pivot="0" count="7">
      <tableStyleElement type="wholeTable" dxfId="275"/>
      <tableStyleElement type="headerRow" dxfId="274"/>
      <tableStyleElement type="totalRow" dxfId="273"/>
      <tableStyleElement type="firstColumn" dxfId="272"/>
      <tableStyleElement type="lastColumn" dxfId="271"/>
      <tableStyleElement type="firstTotalCell" dxfId="270"/>
      <tableStyleElement type="lastTotalCell" dxfId="269"/>
    </tableStyle>
    <tableStyle name="Cash Receipts 2" pivot="0" count="7">
      <tableStyleElement type="wholeTable" dxfId="268"/>
      <tableStyleElement type="headerRow" dxfId="267"/>
      <tableStyleElement type="totalRow" dxfId="266"/>
      <tableStyleElement type="firstColumn" dxfId="265"/>
      <tableStyleElement type="lastColumn" dxfId="264"/>
      <tableStyleElement type="firstTotalCell" dxfId="263"/>
      <tableStyleElement type="lastTotalCell" dxfId="262"/>
    </tableStyle>
    <tableStyle name="Cash Receipts 3" pivot="0" count="7">
      <tableStyleElement type="wholeTable" dxfId="261"/>
      <tableStyleElement type="headerRow" dxfId="260"/>
      <tableStyleElement type="totalRow" dxfId="259"/>
      <tableStyleElement type="firstColumn" dxfId="258"/>
      <tableStyleElement type="lastColumn" dxfId="257"/>
      <tableStyleElement type="firstTotalCell" dxfId="256"/>
      <tableStyleElement type="lastTotalCell" dxfId="255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10</xdr:col>
      <xdr:colOff>63500</xdr:colOff>
      <xdr:row>4</xdr:row>
      <xdr:rowOff>9417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0FCF485-9E78-AD4D-8F5C-31D983A5D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0"/>
          <a:ext cx="1873250" cy="803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49723</xdr:colOff>
      <xdr:row>0</xdr:row>
      <xdr:rowOff>66676</xdr:rowOff>
    </xdr:from>
    <xdr:to>
      <xdr:col>2</xdr:col>
      <xdr:colOff>127000</xdr:colOff>
      <xdr:row>2</xdr:row>
      <xdr:rowOff>182580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0FCF485-9E78-AD4D-8F5C-31D983A5D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3" y="66676"/>
          <a:ext cx="1296477" cy="484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186937</xdr:colOff>
      <xdr:row>0</xdr:row>
      <xdr:rowOff>63500</xdr:rowOff>
    </xdr:from>
    <xdr:to>
      <xdr:col>11</xdr:col>
      <xdr:colOff>1800226</xdr:colOff>
      <xdr:row>3</xdr:row>
      <xdr:rowOff>127254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0FCF485-9E78-AD4D-8F5C-31D983A5D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537" y="63500"/>
          <a:ext cx="1613289" cy="6797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ashReceipts" displayName="CashReceipts" ref="A9:R12" headerRowCount="0" totalsRowCount="1" headerRowDxfId="251" dataDxfId="250" totalsRowDxfId="249">
  <tableColumns count="18">
    <tableColumn id="1" name="Items" totalsRowLabel="Yhteensä" headerRowDxfId="248" dataDxfId="247" totalsRowDxfId="246"/>
    <tableColumn id="17" name="Column2" headerRowDxfId="245" dataDxfId="244" totalsRowDxfId="243"/>
    <tableColumn id="2" name="Period 0" totalsRowFunction="sum" dataDxfId="242" totalsRowDxfId="241"/>
    <tableColumn id="3" name="Period 1" totalsRowFunction="sum" dataDxfId="240" totalsRowDxfId="239"/>
    <tableColumn id="4" name="Period 2" totalsRowFunction="sum" dataDxfId="238" totalsRowDxfId="237"/>
    <tableColumn id="5" name="Period 3" totalsRowFunction="sum" dataDxfId="236" totalsRowDxfId="235"/>
    <tableColumn id="6" name="Period 4" totalsRowFunction="sum" dataDxfId="234" totalsRowDxfId="233"/>
    <tableColumn id="7" name="Period 5" totalsRowFunction="sum" dataDxfId="232" totalsRowDxfId="231"/>
    <tableColumn id="8" name="Period 6" totalsRowFunction="sum" dataDxfId="230" totalsRowDxfId="229"/>
    <tableColumn id="9" name="Period 7" totalsRowFunction="sum" dataDxfId="228" totalsRowDxfId="227"/>
    <tableColumn id="10" name="Period 8" totalsRowFunction="sum" dataDxfId="226" totalsRowDxfId="225"/>
    <tableColumn id="11" name="Period 9" totalsRowFunction="sum" dataDxfId="224" totalsRowDxfId="223"/>
    <tableColumn id="12" name="Period 10" totalsRowFunction="sum" dataDxfId="222" totalsRowDxfId="221"/>
    <tableColumn id="13" name="Period 11" totalsRowFunction="sum" dataDxfId="220" totalsRowDxfId="219"/>
    <tableColumn id="14" name="Period 12" totalsRowFunction="sum" dataDxfId="218" totalsRowDxfId="217"/>
    <tableColumn id="18" name="Column3" dataDxfId="216" totalsRowDxfId="215"/>
    <tableColumn id="15" name="Total" totalsRowFunction="sum" dataDxfId="214" totalsRowDxfId="213">
      <calculatedColumnFormula>SUM(CashReceipts[[#This Row],[Period 0]:[Period 12]])</calculatedColumnFormula>
    </tableColumn>
    <tableColumn id="16" name="Column1" dataDxfId="212" totalsRowDxfId="211"/>
  </tableColumns>
  <tableStyleInfo name="Cash Receipts" showFirstColumn="1" showLastColumn="1" showRowStripes="0" showColumnStripes="0"/>
  <extLst>
    <ext xmlns:x14="http://schemas.microsoft.com/office/spreadsheetml/2009/9/main" uri="{504A1905-F514-4f6f-8877-14C23A59335A}">
      <x14:table altText="Kassakuitit" altTextSummary="12 kuukauden kassakuitit alkaen tilikauden ensimmäisestä kuukaudesta. Sisältää lasketun kokonaissumman."/>
    </ext>
  </extLst>
</table>
</file>

<file path=xl/tables/table2.xml><?xml version="1.0" encoding="utf-8"?>
<table xmlns="http://schemas.openxmlformats.org/spreadsheetml/2006/main" id="2" name="CashPaidOut" displayName="CashPaidOut" ref="A16:R40" headerRowCount="0" totalsRowCount="1" headerRowDxfId="210" dataDxfId="209" totalsRowDxfId="208">
  <tableColumns count="18">
    <tableColumn id="1" name="Items" totalsRowLabel="Kassastamaksu yhteensä" headerRowDxfId="207" dataDxfId="206" totalsRowDxfId="205"/>
    <tableColumn id="17" name="Column2" headerRowDxfId="204" dataDxfId="203" totalsRowDxfId="202"/>
    <tableColumn id="2" name="Period 0" totalsRowFunction="sum" dataDxfId="201" totalsRowDxfId="200"/>
    <tableColumn id="3" name="Period 1" totalsRowFunction="sum" dataDxfId="199" totalsRowDxfId="198"/>
    <tableColumn id="4" name="Period 2" totalsRowFunction="sum" dataDxfId="197" totalsRowDxfId="196"/>
    <tableColumn id="5" name="Period 3" totalsRowFunction="sum" dataDxfId="195" totalsRowDxfId="194"/>
    <tableColumn id="6" name="Period 4" totalsRowFunction="sum" dataDxfId="193" totalsRowDxfId="192"/>
    <tableColumn id="7" name="Period 5" totalsRowFunction="sum" dataDxfId="191" totalsRowDxfId="190"/>
    <tableColumn id="8" name="Period 6" totalsRowFunction="sum" dataDxfId="189" totalsRowDxfId="188"/>
    <tableColumn id="9" name="Period 7" totalsRowFunction="sum" dataDxfId="187" totalsRowDxfId="186"/>
    <tableColumn id="10" name="Period 8" totalsRowFunction="sum" dataDxfId="185" totalsRowDxfId="184"/>
    <tableColumn id="11" name="Period 9" totalsRowFunction="sum" dataDxfId="183" totalsRowDxfId="182"/>
    <tableColumn id="12" name="Period 10" totalsRowFunction="sum" dataDxfId="181" totalsRowDxfId="180"/>
    <tableColumn id="13" name="Period 11" totalsRowFunction="sum" dataDxfId="179" totalsRowDxfId="178"/>
    <tableColumn id="14" name="Period 12" totalsRowFunction="sum" dataDxfId="177" totalsRowDxfId="176"/>
    <tableColumn id="18" name="Column3" dataDxfId="175" totalsRowDxfId="174"/>
    <tableColumn id="15" name="Total" totalsRowFunction="sum" dataDxfId="173" totalsRowDxfId="172">
      <calculatedColumnFormula>SUM(CashPaidOut[[#This Row],[Period 0]:[Period 12]])</calculatedColumnFormula>
    </tableColumn>
    <tableColumn id="16" name="Column1" dataDxfId="171" totalsRowDxfId="170"/>
  </tableColumns>
  <tableStyleInfo name="Cash Receipts" showFirstColumn="1" showLastColumn="1" showRowStripes="0" showColumnStripes="0"/>
  <extLst>
    <ext xmlns:x14="http://schemas.microsoft.com/office/spreadsheetml/2009/9/main" uri="{504A1905-F514-4f6f-8877-14C23A59335A}">
      <x14:table altText="Kassastamaksu" altTextSummary="Kassastamaksut 12 kuukauden ajalta tilikauden ensimmäisestä kuukaudesta alkaen ja laskettu kokonaissumma."/>
    </ext>
  </extLst>
</table>
</file>

<file path=xl/tables/table3.xml><?xml version="1.0" encoding="utf-8"?>
<table xmlns="http://schemas.openxmlformats.org/spreadsheetml/2006/main" id="3" name="CashReceipts2" displayName="CashReceipts2" ref="A9:R12" headerRowCount="0" totalsRowCount="1" headerRowDxfId="166" dataDxfId="165" totalsRowDxfId="164">
  <tableColumns count="18">
    <tableColumn id="1" name="Items" totalsRowLabel="Yhteensä" headerRowDxfId="163" dataDxfId="162" totalsRowDxfId="161"/>
    <tableColumn id="17" name="Column2" headerRowDxfId="160" dataDxfId="159" totalsRowDxfId="158"/>
    <tableColumn id="2" name="Period 0" totalsRowFunction="sum" dataDxfId="157" totalsRowDxfId="156"/>
    <tableColumn id="3" name="Period 1" totalsRowFunction="sum" dataDxfId="155" totalsRowDxfId="154"/>
    <tableColumn id="4" name="Period 2" totalsRowFunction="sum" dataDxfId="153" totalsRowDxfId="152"/>
    <tableColumn id="5" name="Period 3" totalsRowFunction="sum" dataDxfId="151" totalsRowDxfId="150"/>
    <tableColumn id="6" name="Period 4" totalsRowFunction="sum" dataDxfId="149" totalsRowDxfId="148"/>
    <tableColumn id="7" name="Period 5" totalsRowFunction="sum" dataDxfId="147" totalsRowDxfId="146"/>
    <tableColumn id="8" name="Period 6" totalsRowFunction="sum" dataDxfId="145" totalsRowDxfId="144"/>
    <tableColumn id="9" name="Period 7" totalsRowFunction="sum" dataDxfId="143" totalsRowDxfId="142"/>
    <tableColumn id="10" name="Period 8" totalsRowFunction="sum" dataDxfId="141" totalsRowDxfId="140"/>
    <tableColumn id="11" name="Period 9" totalsRowFunction="sum" dataDxfId="139" totalsRowDxfId="138"/>
    <tableColumn id="12" name="Period 10" totalsRowFunction="sum" dataDxfId="137" totalsRowDxfId="136"/>
    <tableColumn id="13" name="Period 11" totalsRowFunction="sum" dataDxfId="135" totalsRowDxfId="134"/>
    <tableColumn id="14" name="Period 12" dataDxfId="133" totalsRowDxfId="132"/>
    <tableColumn id="18" name="Column3" dataDxfId="131" totalsRowDxfId="130"/>
    <tableColumn id="15" name="Total" totalsRowFunction="sum" dataDxfId="129" totalsRowDxfId="128">
      <calculatedColumnFormula>SUM(CashReceipts2[[#This Row],[Period 0]:[Period 12]])</calculatedColumnFormula>
    </tableColumn>
    <tableColumn id="16" name="Column1" dataDxfId="127" totalsRowDxfId="126"/>
  </tableColumns>
  <tableStyleInfo name="Cash Receipts" showFirstColumn="1" showLastColumn="1" showRowStripes="0" showColumnStripes="0"/>
  <extLst>
    <ext xmlns:x14="http://schemas.microsoft.com/office/spreadsheetml/2009/9/main" uri="{504A1905-F514-4f6f-8877-14C23A59335A}">
      <x14:table altText="Kassakuitit" altTextSummary="12 kuukauden kassakuitit alkaen tilikauden ensimmäisestä kuukaudesta. Sisältää lasketun kokonaissumman."/>
    </ext>
  </extLst>
</table>
</file>

<file path=xl/tables/table4.xml><?xml version="1.0" encoding="utf-8"?>
<table xmlns="http://schemas.openxmlformats.org/spreadsheetml/2006/main" id="4" name="CashPaidOut3" displayName="CashPaidOut3" ref="A16:R40" headerRowCount="0" totalsRowCount="1" headerRowDxfId="125" dataDxfId="124" totalsRowDxfId="123">
  <tableColumns count="18">
    <tableColumn id="1" name="Items" totalsRowLabel="Kassastamaksu yhteensä" headerRowDxfId="122" dataDxfId="121" totalsRowDxfId="120"/>
    <tableColumn id="17" name="Column2" headerRowDxfId="119" dataDxfId="118" totalsRowDxfId="117"/>
    <tableColumn id="2" name="Period 0" totalsRowFunction="sum" dataDxfId="116" totalsRowDxfId="115"/>
    <tableColumn id="3" name="Period 1" totalsRowFunction="sum" dataDxfId="114" totalsRowDxfId="113"/>
    <tableColumn id="4" name="Period 2" totalsRowFunction="sum" dataDxfId="112" totalsRowDxfId="111"/>
    <tableColumn id="5" name="Period 3" totalsRowFunction="sum" dataDxfId="110" totalsRowDxfId="109"/>
    <tableColumn id="6" name="Period 4" totalsRowFunction="sum" dataDxfId="108" totalsRowDxfId="107"/>
    <tableColumn id="7" name="Period 5" totalsRowFunction="sum" dataDxfId="106" totalsRowDxfId="105"/>
    <tableColumn id="8" name="Period 6" totalsRowFunction="sum" dataDxfId="104" totalsRowDxfId="103"/>
    <tableColumn id="9" name="Period 7" totalsRowFunction="sum" dataDxfId="102" totalsRowDxfId="101"/>
    <tableColumn id="10" name="Period 8" totalsRowFunction="sum" dataDxfId="100" totalsRowDxfId="99"/>
    <tableColumn id="11" name="Period 9" totalsRowFunction="sum" dataDxfId="98" totalsRowDxfId="97"/>
    <tableColumn id="12" name="Period 10" totalsRowFunction="sum" dataDxfId="96" totalsRowDxfId="95"/>
    <tableColumn id="13" name="Period 11" totalsRowFunction="sum" dataDxfId="94" totalsRowDxfId="93"/>
    <tableColumn id="14" name="Period 12" dataDxfId="92" totalsRowDxfId="91"/>
    <tableColumn id="18" name="Column3" dataDxfId="90" totalsRowDxfId="89"/>
    <tableColumn id="15" name="Total" totalsRowFunction="sum" dataDxfId="88" totalsRowDxfId="87">
      <calculatedColumnFormula>SUM(CashPaidOut3[[#This Row],[Period 0]:[Period 12]])</calculatedColumnFormula>
    </tableColumn>
    <tableColumn id="16" name="Column1" dataDxfId="86" totalsRowDxfId="85"/>
  </tableColumns>
  <tableStyleInfo name="Cash Receipts" showFirstColumn="1" showLastColumn="1" showRowStripes="0" showColumnStripes="0"/>
  <extLst>
    <ext xmlns:x14="http://schemas.microsoft.com/office/spreadsheetml/2009/9/main" uri="{504A1905-F514-4f6f-8877-14C23A59335A}">
      <x14:table altText="Kassastamaksu" altTextSummary="Kassastamaksut 12 kuukauden ajalta tilikauden ensimmäisestä kuukaudesta alkaen ja laskettu kokonaissumma."/>
    </ext>
  </extLst>
</table>
</file>

<file path=xl/tables/table5.xml><?xml version="1.0" encoding="utf-8"?>
<table xmlns="http://schemas.openxmlformats.org/spreadsheetml/2006/main" id="5" name="CashReceipts24" displayName="CashReceipts24" ref="A9:R12" headerRowCount="0" totalsRowCount="1" headerRowDxfId="81" dataDxfId="80" totalsRowDxfId="79">
  <tableColumns count="18">
    <tableColumn id="1" name="Items" totalsRowLabel="Yhteensä" headerRowDxfId="78" dataDxfId="77" totalsRowDxfId="76"/>
    <tableColumn id="17" name="Column2" headerRowDxfId="75" dataDxfId="74" totalsRowDxfId="73"/>
    <tableColumn id="2" name="Period 0" totalsRowFunction="sum" dataDxfId="72" totalsRowDxfId="71"/>
    <tableColumn id="3" name="Period 1" totalsRowFunction="sum" dataDxfId="70" totalsRowDxfId="69"/>
    <tableColumn id="4" name="Period 2" totalsRowFunction="sum" dataDxfId="68" totalsRowDxfId="67"/>
    <tableColumn id="5" name="Period 3" totalsRowFunction="sum" dataDxfId="66" totalsRowDxfId="65"/>
    <tableColumn id="6" name="Period 4" totalsRowFunction="sum" dataDxfId="64" totalsRowDxfId="63"/>
    <tableColumn id="7" name="Period 5" totalsRowFunction="sum" dataDxfId="62" totalsRowDxfId="61"/>
    <tableColumn id="8" name="Period 6" totalsRowFunction="sum" dataDxfId="60" totalsRowDxfId="59"/>
    <tableColumn id="9" name="Period 7" totalsRowFunction="sum" dataDxfId="58" totalsRowDxfId="57"/>
    <tableColumn id="10" name="Period 8" totalsRowFunction="sum" dataDxfId="56" totalsRowDxfId="55"/>
    <tableColumn id="11" name="Period 9" totalsRowFunction="sum" dataDxfId="54" totalsRowDxfId="53"/>
    <tableColumn id="12" name="Period 10" totalsRowFunction="sum" dataDxfId="52" totalsRowDxfId="51"/>
    <tableColumn id="13" name="Period 11" totalsRowFunction="sum" dataDxfId="50" totalsRowDxfId="49"/>
    <tableColumn id="14" name="Period 12" dataDxfId="48" totalsRowDxfId="47"/>
    <tableColumn id="18" name="Column3" dataDxfId="46" totalsRowDxfId="45"/>
    <tableColumn id="15" name="Total" totalsRowFunction="sum" dataDxfId="44" totalsRowDxfId="43">
      <calculatedColumnFormula>SUM(CashReceipts24[[#This Row],[Period 0]:[Period 12]])</calculatedColumnFormula>
    </tableColumn>
    <tableColumn id="16" name="Column1" dataDxfId="42" totalsRowDxfId="41"/>
  </tableColumns>
  <tableStyleInfo name="Cash Receipts" showFirstColumn="1" showLastColumn="1" showRowStripes="0" showColumnStripes="0"/>
  <extLst>
    <ext xmlns:x14="http://schemas.microsoft.com/office/spreadsheetml/2009/9/main" uri="{504A1905-F514-4f6f-8877-14C23A59335A}">
      <x14:table altText="Kassakuitit" altTextSummary="12 kuukauden kassakuitit alkaen tilikauden ensimmäisestä kuukaudesta. Sisältää lasketun kokonaissumman."/>
    </ext>
  </extLst>
</table>
</file>

<file path=xl/tables/table6.xml><?xml version="1.0" encoding="utf-8"?>
<table xmlns="http://schemas.openxmlformats.org/spreadsheetml/2006/main" id="6" name="CashPaidOut35" displayName="CashPaidOut35" ref="A16:R40" headerRowCount="0" totalsRowCount="1" headerRowDxfId="40" dataDxfId="39" totalsRowDxfId="38">
  <tableColumns count="18">
    <tableColumn id="1" name="Items" totalsRowLabel="Kassastamaksu yhteensä" headerRowDxfId="37" dataDxfId="36" totalsRowDxfId="35"/>
    <tableColumn id="17" name="Column2" headerRowDxfId="34" dataDxfId="33" totalsRowDxfId="32"/>
    <tableColumn id="2" name="Period 0" totalsRowFunction="sum" dataDxfId="31" totalsRowDxfId="30"/>
    <tableColumn id="3" name="Period 1" totalsRowFunction="sum" dataDxfId="29" totalsRowDxfId="28"/>
    <tableColumn id="4" name="Period 2" totalsRowFunction="sum" dataDxfId="27" totalsRowDxfId="26"/>
    <tableColumn id="5" name="Period 3" totalsRowFunction="sum" dataDxfId="25" totalsRowDxfId="24"/>
    <tableColumn id="6" name="Period 4" totalsRowFunction="sum" dataDxfId="23" totalsRowDxfId="22"/>
    <tableColumn id="7" name="Period 5" totalsRowFunction="sum" dataDxfId="21" totalsRowDxfId="20"/>
    <tableColumn id="8" name="Period 6" totalsRowFunction="sum" dataDxfId="19" totalsRowDxfId="18"/>
    <tableColumn id="9" name="Period 7" totalsRowFunction="sum" dataDxfId="17" totalsRowDxfId="16"/>
    <tableColumn id="10" name="Period 8" totalsRowFunction="sum" dataDxfId="15" totalsRowDxfId="14"/>
    <tableColumn id="11" name="Period 9" totalsRowFunction="sum" dataDxfId="13" totalsRowDxfId="12"/>
    <tableColumn id="12" name="Period 10" totalsRowFunction="sum" dataDxfId="11" totalsRowDxfId="10"/>
    <tableColumn id="13" name="Period 11" totalsRowFunction="sum" dataDxfId="9" totalsRowDxfId="8"/>
    <tableColumn id="14" name="Period 12" dataDxfId="7" totalsRowDxfId="6"/>
    <tableColumn id="18" name="Column3" dataDxfId="5" totalsRowDxfId="4"/>
    <tableColumn id="15" name="Total" totalsRowFunction="sum" dataDxfId="3" totalsRowDxfId="2">
      <calculatedColumnFormula>SUM(CashPaidOut35[[#This Row],[Period 0]:[Period 12]])</calculatedColumnFormula>
    </tableColumn>
    <tableColumn id="16" name="Column1" dataDxfId="1" totalsRowDxfId="0"/>
  </tableColumns>
  <tableStyleInfo name="Cash Receipts" showFirstColumn="1" showLastColumn="1" showRowStripes="0" showColumnStripes="0"/>
  <extLst>
    <ext xmlns:x14="http://schemas.microsoft.com/office/spreadsheetml/2009/9/main" uri="{504A1905-F514-4f6f-8877-14C23A59335A}">
      <x14:table altText="Kassastamaksu" altTextSummary="Kassastamaksut 12 kuukauden ajalta tilikauden ensimmäisestä kuukaudesta alkaen ja laskettu kokonaissumma."/>
    </ext>
  </extLst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aske-yel-tyotulosuositus.tyoelake.fi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9"/>
  <sheetViews>
    <sheetView tabSelected="1" workbookViewId="0">
      <selection activeCell="G24" sqref="G24"/>
    </sheetView>
  </sheetViews>
  <sheetFormatPr defaultRowHeight="15" x14ac:dyDescent="0.25"/>
  <cols>
    <col min="1" max="1" width="59.42578125" customWidth="1"/>
  </cols>
  <sheetData>
    <row r="2" spans="1:20" ht="18.75" x14ac:dyDescent="0.3">
      <c r="A2" s="1" t="s">
        <v>0</v>
      </c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</v>
      </c>
      <c r="R2" s="5"/>
      <c r="S2" s="6"/>
      <c r="T2" s="4"/>
    </row>
    <row r="3" spans="1:20" ht="15.75" thickBo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7" t="s">
        <v>4</v>
      </c>
      <c r="S4" s="8"/>
      <c r="T4" s="9"/>
    </row>
    <row r="5" spans="1:20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 t="s">
        <v>5</v>
      </c>
      <c r="S5" s="11"/>
      <c r="T5" s="12"/>
    </row>
    <row r="6" spans="1:20" ht="15.75" thickBot="1" x14ac:dyDescent="0.3">
      <c r="A6" s="13"/>
      <c r="B6" s="289" t="s">
        <v>6</v>
      </c>
      <c r="C6" s="290"/>
      <c r="D6" s="291" t="s">
        <v>7</v>
      </c>
      <c r="E6" s="292"/>
      <c r="F6" s="4"/>
      <c r="G6" s="4"/>
      <c r="H6" s="14" t="s">
        <v>8</v>
      </c>
      <c r="I6" s="14"/>
      <c r="J6" s="14"/>
      <c r="K6" s="14"/>
      <c r="L6" s="4"/>
      <c r="M6" s="4"/>
      <c r="N6" s="4"/>
      <c r="O6" s="4"/>
      <c r="P6" s="4"/>
      <c r="Q6" s="4"/>
      <c r="R6" s="15" t="s">
        <v>9</v>
      </c>
      <c r="S6" s="16" t="s">
        <v>10</v>
      </c>
      <c r="T6" s="17" t="s">
        <v>11</v>
      </c>
    </row>
    <row r="7" spans="1:20" ht="45.75" thickBot="1" x14ac:dyDescent="0.3">
      <c r="A7" s="4"/>
      <c r="B7" s="18" t="s">
        <v>12</v>
      </c>
      <c r="C7" s="19">
        <v>6</v>
      </c>
      <c r="D7" s="20" t="s">
        <v>12</v>
      </c>
      <c r="E7" s="21" t="s">
        <v>13</v>
      </c>
      <c r="F7" s="4"/>
      <c r="G7" s="293" t="s">
        <v>14</v>
      </c>
      <c r="H7" s="294"/>
      <c r="I7" s="294"/>
      <c r="J7" s="294"/>
      <c r="K7" s="294"/>
      <c r="L7" s="295"/>
      <c r="M7" s="22"/>
      <c r="N7" s="22"/>
      <c r="O7" s="22"/>
      <c r="P7" s="22"/>
      <c r="Q7" s="4"/>
      <c r="R7" s="23" t="s">
        <v>15</v>
      </c>
      <c r="S7" s="24">
        <v>15</v>
      </c>
      <c r="T7" s="25">
        <v>10</v>
      </c>
    </row>
    <row r="8" spans="1:20" ht="15.75" thickBot="1" x14ac:dyDescent="0.3">
      <c r="A8" s="6" t="s">
        <v>16</v>
      </c>
      <c r="B8" s="264"/>
      <c r="C8" s="26">
        <f xml:space="preserve"> B8*C7</f>
        <v>0</v>
      </c>
      <c r="D8" s="273"/>
      <c r="E8" s="26">
        <f xml:space="preserve"> D8*12</f>
        <v>0</v>
      </c>
      <c r="F8" s="4" t="s">
        <v>17</v>
      </c>
      <c r="M8" s="22"/>
      <c r="N8" s="22"/>
      <c r="O8" s="22"/>
      <c r="P8" s="22"/>
      <c r="Q8" s="4"/>
      <c r="R8" s="27" t="s">
        <v>18</v>
      </c>
      <c r="S8" s="28">
        <v>5</v>
      </c>
      <c r="T8" s="29">
        <v>5</v>
      </c>
    </row>
    <row r="9" spans="1:20" ht="15.75" thickBot="1" x14ac:dyDescent="0.3">
      <c r="A9" s="4" t="s">
        <v>19</v>
      </c>
      <c r="B9" s="265"/>
      <c r="C9" s="26">
        <f xml:space="preserve"> B9*C7</f>
        <v>0</v>
      </c>
      <c r="D9" s="271"/>
      <c r="E9" s="31">
        <f xml:space="preserve"> D9*12</f>
        <v>0</v>
      </c>
      <c r="F9" s="4" t="s">
        <v>17</v>
      </c>
      <c r="G9" s="298" t="s">
        <v>239</v>
      </c>
      <c r="H9" s="299"/>
      <c r="I9" s="299"/>
      <c r="J9" s="299"/>
      <c r="K9" s="299"/>
      <c r="L9" s="300"/>
      <c r="M9" s="4"/>
      <c r="N9" s="4"/>
      <c r="O9" s="4"/>
      <c r="P9" s="4"/>
      <c r="Q9" s="4"/>
      <c r="R9" s="4"/>
      <c r="S9" s="4"/>
      <c r="T9" s="4"/>
    </row>
    <row r="10" spans="1:20" ht="15.75" thickBot="1" x14ac:dyDescent="0.3">
      <c r="A10" s="32" t="s">
        <v>20</v>
      </c>
      <c r="B10" s="33">
        <f>SUM(B8:B9)</f>
        <v>0</v>
      </c>
      <c r="C10" s="34">
        <f>SUM(C8:C9)</f>
        <v>0</v>
      </c>
      <c r="D10" s="35">
        <f xml:space="preserve"> D8+D9</f>
        <v>0</v>
      </c>
      <c r="E10" s="34">
        <f t="shared" ref="E10:E13" si="0" xml:space="preserve"> D10*12</f>
        <v>0</v>
      </c>
      <c r="F10" s="4" t="s">
        <v>21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thickBot="1" x14ac:dyDescent="0.3">
      <c r="A11" s="4" t="s">
        <v>22</v>
      </c>
      <c r="B11" s="265"/>
      <c r="C11" s="31">
        <f xml:space="preserve"> B11*C7</f>
        <v>0</v>
      </c>
      <c r="D11" s="271"/>
      <c r="E11" s="31">
        <f t="shared" si="0"/>
        <v>0</v>
      </c>
      <c r="F11" s="4" t="s">
        <v>17</v>
      </c>
      <c r="G11" s="36" t="s">
        <v>23</v>
      </c>
      <c r="H11" s="37"/>
      <c r="I11" s="37"/>
      <c r="J11" s="37"/>
      <c r="K11" s="38"/>
      <c r="L11" s="39"/>
      <c r="M11" s="40"/>
      <c r="N11" s="40"/>
      <c r="O11" s="40"/>
      <c r="P11" s="40"/>
      <c r="Q11" s="41"/>
      <c r="R11" s="40"/>
      <c r="S11" s="4"/>
      <c r="T11" s="4"/>
    </row>
    <row r="12" spans="1:20" ht="15.75" thickBot="1" x14ac:dyDescent="0.3">
      <c r="A12" s="32" t="s">
        <v>24</v>
      </c>
      <c r="B12" s="33">
        <f>SUM(B10:B11)</f>
        <v>0</v>
      </c>
      <c r="C12" s="34">
        <f>SUM(C10:C11)</f>
        <v>0</v>
      </c>
      <c r="D12" s="35">
        <f xml:space="preserve"> D10+D11</f>
        <v>0</v>
      </c>
      <c r="E12" s="34">
        <f t="shared" si="0"/>
        <v>0</v>
      </c>
      <c r="F12" s="4" t="s">
        <v>21</v>
      </c>
      <c r="G12" s="42" t="s">
        <v>25</v>
      </c>
      <c r="H12" s="43"/>
      <c r="I12" s="43"/>
      <c r="J12" s="43"/>
      <c r="K12" s="44"/>
      <c r="L12" s="39"/>
      <c r="M12" s="4"/>
      <c r="N12" s="4"/>
      <c r="O12" s="4"/>
      <c r="P12" s="4"/>
      <c r="Q12" s="45" t="s">
        <v>26</v>
      </c>
      <c r="R12" s="46" t="s">
        <v>27</v>
      </c>
      <c r="S12" s="46" t="s">
        <v>28</v>
      </c>
      <c r="T12" s="47" t="s">
        <v>29</v>
      </c>
    </row>
    <row r="13" spans="1:20" ht="15.75" thickBot="1" x14ac:dyDescent="0.3">
      <c r="A13" s="4" t="s">
        <v>30</v>
      </c>
      <c r="B13" s="266"/>
      <c r="C13" s="48">
        <f xml:space="preserve"> B13*C7</f>
        <v>0</v>
      </c>
      <c r="D13" s="274"/>
      <c r="E13" s="48">
        <f t="shared" si="0"/>
        <v>0</v>
      </c>
      <c r="F13" s="4" t="s">
        <v>17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9" t="s">
        <v>31</v>
      </c>
      <c r="R13" s="50">
        <f xml:space="preserve"> E39</f>
        <v>0</v>
      </c>
      <c r="S13" s="50">
        <f xml:space="preserve"> S15+S14</f>
        <v>0</v>
      </c>
      <c r="T13" s="51">
        <f xml:space="preserve"> T15+T14</f>
        <v>0</v>
      </c>
    </row>
    <row r="14" spans="1:20" ht="15.75" thickBot="1" x14ac:dyDescent="0.3">
      <c r="A14" s="52" t="s">
        <v>32</v>
      </c>
      <c r="B14" s="53">
        <f>SUM(B12:B13)</f>
        <v>0</v>
      </c>
      <c r="C14" s="54">
        <f>SUM(C12:C13)</f>
        <v>0</v>
      </c>
      <c r="D14" s="55">
        <f xml:space="preserve"> D12+D13</f>
        <v>0</v>
      </c>
      <c r="E14" s="54">
        <f xml:space="preserve"> E12+E13</f>
        <v>0</v>
      </c>
      <c r="F14" s="4" t="s">
        <v>21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56" t="s">
        <v>33</v>
      </c>
      <c r="R14" s="57">
        <f xml:space="preserve"> E38</f>
        <v>0</v>
      </c>
      <c r="S14" s="57">
        <f xml:space="preserve"> S15*0.24</f>
        <v>0</v>
      </c>
      <c r="T14" s="58">
        <f xml:space="preserve"> T15*0.24</f>
        <v>0</v>
      </c>
    </row>
    <row r="15" spans="1:20" ht="15.75" thickBot="1" x14ac:dyDescent="0.3">
      <c r="A15" s="4"/>
      <c r="B15" s="59"/>
      <c r="C15" s="59"/>
      <c r="D15" s="59"/>
      <c r="E15" s="5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0" t="s">
        <v>34</v>
      </c>
      <c r="R15" s="61">
        <f xml:space="preserve"> R13-R14</f>
        <v>0</v>
      </c>
      <c r="S15" s="61">
        <f xml:space="preserve"> R15+(R15/100*S7)</f>
        <v>0</v>
      </c>
      <c r="T15" s="62">
        <f xml:space="preserve"> S15+(S15/100*T7)</f>
        <v>0</v>
      </c>
    </row>
    <row r="16" spans="1:20" ht="15.75" thickBot="1" x14ac:dyDescent="0.3">
      <c r="A16" s="63" t="s">
        <v>35</v>
      </c>
      <c r="B16" s="64"/>
      <c r="C16" s="64"/>
      <c r="D16" s="59"/>
      <c r="E16" s="5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9" t="s">
        <v>36</v>
      </c>
      <c r="R16" s="50">
        <f xml:space="preserve"> E36</f>
        <v>0</v>
      </c>
      <c r="S16" s="50">
        <f xml:space="preserve"> R16+(R16/100*S8)</f>
        <v>0</v>
      </c>
      <c r="T16" s="51">
        <f xml:space="preserve"> S16+(S16/100*T8)</f>
        <v>0</v>
      </c>
    </row>
    <row r="17" spans="1:20" x14ac:dyDescent="0.25">
      <c r="A17" s="4" t="s">
        <v>37</v>
      </c>
      <c r="B17" s="267"/>
      <c r="C17" s="65">
        <f xml:space="preserve"> B17*C7</f>
        <v>0</v>
      </c>
      <c r="D17" s="270"/>
      <c r="E17" s="66">
        <f xml:space="preserve"> D17*12</f>
        <v>0</v>
      </c>
      <c r="F17" s="4" t="s">
        <v>17</v>
      </c>
      <c r="G17" s="36" t="s">
        <v>38</v>
      </c>
      <c r="H17" s="37"/>
      <c r="I17" s="37"/>
      <c r="J17" s="37"/>
      <c r="K17" s="38"/>
      <c r="L17" s="39"/>
      <c r="M17" s="4"/>
      <c r="N17" s="4"/>
      <c r="O17" s="4"/>
      <c r="P17" s="4"/>
      <c r="Q17" s="67" t="s">
        <v>39</v>
      </c>
      <c r="R17" s="68">
        <f xml:space="preserve"> E19+E20</f>
        <v>0</v>
      </c>
      <c r="S17" s="68">
        <f xml:space="preserve"> R17+(R17/100*S8)</f>
        <v>0</v>
      </c>
      <c r="T17" s="69">
        <f xml:space="preserve"> S17+(S17/100*T8)</f>
        <v>0</v>
      </c>
    </row>
    <row r="18" spans="1:20" x14ac:dyDescent="0.25">
      <c r="A18" s="4" t="s">
        <v>40</v>
      </c>
      <c r="B18" s="268"/>
      <c r="C18" s="71">
        <f xml:space="preserve"> B18*C7</f>
        <v>0</v>
      </c>
      <c r="D18" s="271"/>
      <c r="E18" s="31">
        <f t="shared" ref="E18:E32" si="1" xml:space="preserve"> D18*12</f>
        <v>0</v>
      </c>
      <c r="F18" s="4" t="s">
        <v>17</v>
      </c>
      <c r="G18" s="72" t="s">
        <v>248</v>
      </c>
      <c r="H18" s="73"/>
      <c r="I18" s="73"/>
      <c r="J18" s="73"/>
      <c r="K18" s="74"/>
      <c r="L18" s="39"/>
      <c r="M18" s="4"/>
      <c r="N18" s="4"/>
      <c r="O18" s="4"/>
      <c r="P18" s="4"/>
      <c r="Q18" s="67" t="s">
        <v>41</v>
      </c>
      <c r="R18" s="68">
        <f xml:space="preserve"> E21</f>
        <v>0</v>
      </c>
      <c r="S18" s="68">
        <f xml:space="preserve"> R18+(R18/100*S8)</f>
        <v>0</v>
      </c>
      <c r="T18" s="69">
        <f xml:space="preserve"> S18+(S18/100*T8)</f>
        <v>0</v>
      </c>
    </row>
    <row r="19" spans="1:20" x14ac:dyDescent="0.25">
      <c r="A19" s="4" t="s">
        <v>42</v>
      </c>
      <c r="B19" s="268"/>
      <c r="C19" s="71">
        <f xml:space="preserve"> B19*C7</f>
        <v>0</v>
      </c>
      <c r="D19" s="271"/>
      <c r="E19" s="31">
        <f t="shared" si="1"/>
        <v>0</v>
      </c>
      <c r="F19" s="4" t="s">
        <v>17</v>
      </c>
      <c r="G19" s="72" t="s">
        <v>43</v>
      </c>
      <c r="H19" s="73"/>
      <c r="I19" s="73"/>
      <c r="J19" s="73"/>
      <c r="K19" s="74"/>
      <c r="L19" s="39"/>
      <c r="M19" s="4"/>
      <c r="N19" s="4"/>
      <c r="O19" s="4"/>
      <c r="P19" s="4"/>
      <c r="Q19" s="67" t="s">
        <v>44</v>
      </c>
      <c r="R19" s="68">
        <f xml:space="preserve"> E23</f>
        <v>0</v>
      </c>
      <c r="S19" s="68">
        <f xml:space="preserve"> R19+(R19/100*S8)</f>
        <v>0</v>
      </c>
      <c r="T19" s="69">
        <f xml:space="preserve"> S19+(S19/100*T8)</f>
        <v>0</v>
      </c>
    </row>
    <row r="20" spans="1:20" ht="15.75" thickBot="1" x14ac:dyDescent="0.3">
      <c r="A20" s="4" t="s">
        <v>45</v>
      </c>
      <c r="B20" s="268"/>
      <c r="C20" s="71">
        <f xml:space="preserve"> B20*C7</f>
        <v>0</v>
      </c>
      <c r="D20" s="271"/>
      <c r="E20" s="31">
        <f t="shared" si="1"/>
        <v>0</v>
      </c>
      <c r="F20" s="4" t="s">
        <v>17</v>
      </c>
      <c r="G20" s="42" t="s">
        <v>249</v>
      </c>
      <c r="H20" s="43"/>
      <c r="I20" s="43"/>
      <c r="J20" s="43"/>
      <c r="K20" s="44"/>
      <c r="L20" s="39"/>
      <c r="M20" s="4"/>
      <c r="N20" s="4"/>
      <c r="O20" s="4"/>
      <c r="P20" s="4"/>
      <c r="Q20" s="56" t="s">
        <v>46</v>
      </c>
      <c r="R20" s="57">
        <f xml:space="preserve"> E17+E18+E22+E24+E25+E26+E27+E28+E29+E30+E31+E32</f>
        <v>0</v>
      </c>
      <c r="S20" s="57">
        <f xml:space="preserve"> R20+(R20/100*S8)</f>
        <v>0</v>
      </c>
      <c r="T20" s="58">
        <f xml:space="preserve"> S20+(S20/100*T8)</f>
        <v>0</v>
      </c>
    </row>
    <row r="21" spans="1:20" ht="15.75" thickBot="1" x14ac:dyDescent="0.3">
      <c r="A21" s="4" t="s">
        <v>47</v>
      </c>
      <c r="B21" s="268"/>
      <c r="C21" s="71">
        <f xml:space="preserve"> B21*C7</f>
        <v>0</v>
      </c>
      <c r="D21" s="271"/>
      <c r="E21" s="31">
        <f t="shared" si="1"/>
        <v>0</v>
      </c>
      <c r="F21" s="4" t="s">
        <v>17</v>
      </c>
      <c r="H21" s="4"/>
      <c r="J21" s="4"/>
      <c r="K21" s="4"/>
      <c r="L21" s="4"/>
      <c r="M21" s="4"/>
      <c r="N21" s="4"/>
      <c r="O21" s="4"/>
      <c r="P21" s="4"/>
      <c r="Q21" s="60" t="s">
        <v>48</v>
      </c>
      <c r="R21" s="61">
        <f xml:space="preserve"> R15-R16-R17-R18-R19-R20</f>
        <v>0</v>
      </c>
      <c r="S21" s="61">
        <f xml:space="preserve"> S15-S16-S17-S18-S19-S20</f>
        <v>0</v>
      </c>
      <c r="T21" s="62">
        <f xml:space="preserve"> T15-T16-T17-T18-T19-T20</f>
        <v>0</v>
      </c>
    </row>
    <row r="22" spans="1:20" x14ac:dyDescent="0.25">
      <c r="A22" s="4" t="s">
        <v>49</v>
      </c>
      <c r="B22" s="268"/>
      <c r="C22" s="71">
        <f xml:space="preserve"> B22*C7</f>
        <v>0</v>
      </c>
      <c r="D22" s="271"/>
      <c r="E22" s="31">
        <f t="shared" si="1"/>
        <v>0</v>
      </c>
      <c r="F22" s="4" t="s">
        <v>17</v>
      </c>
      <c r="G22" s="4" t="s">
        <v>251</v>
      </c>
      <c r="H22" s="4"/>
      <c r="I22" s="4"/>
      <c r="J22" s="4"/>
      <c r="K22" s="4"/>
      <c r="L22" s="4"/>
      <c r="M22" s="4"/>
      <c r="N22" s="4"/>
      <c r="O22" s="4"/>
      <c r="P22" s="4"/>
      <c r="Q22" s="49" t="s">
        <v>50</v>
      </c>
      <c r="R22" s="50">
        <f xml:space="preserve"> E9+E13</f>
        <v>0</v>
      </c>
      <c r="S22" s="50">
        <f xml:space="preserve"> R22</f>
        <v>0</v>
      </c>
      <c r="T22" s="51">
        <f xml:space="preserve"> S22</f>
        <v>0</v>
      </c>
    </row>
    <row r="23" spans="1:20" ht="15.75" thickBot="1" x14ac:dyDescent="0.3">
      <c r="A23" s="4" t="s">
        <v>51</v>
      </c>
      <c r="B23" s="268"/>
      <c r="C23" s="71">
        <f xml:space="preserve"> B23*C7</f>
        <v>0</v>
      </c>
      <c r="D23" s="271"/>
      <c r="E23" s="31">
        <f t="shared" si="1"/>
        <v>0</v>
      </c>
      <c r="F23" s="4" t="s">
        <v>17</v>
      </c>
      <c r="G23" s="288" t="s">
        <v>250</v>
      </c>
      <c r="H23" s="4"/>
      <c r="I23" s="4"/>
      <c r="J23" s="4"/>
      <c r="K23" s="4"/>
      <c r="L23" s="4"/>
      <c r="M23" s="4"/>
      <c r="N23" s="4"/>
      <c r="O23" s="4"/>
      <c r="P23" s="4"/>
      <c r="Q23" s="56" t="s">
        <v>52</v>
      </c>
      <c r="R23" s="57">
        <f xml:space="preserve"> E11</f>
        <v>0</v>
      </c>
      <c r="S23" s="57">
        <f xml:space="preserve"> R23+(R23/100*S8)</f>
        <v>0</v>
      </c>
      <c r="T23" s="58">
        <f xml:space="preserve"> S23+(S23/100*T8)</f>
        <v>0</v>
      </c>
    </row>
    <row r="24" spans="1:20" ht="15.75" thickBot="1" x14ac:dyDescent="0.3">
      <c r="A24" s="4" t="s">
        <v>53</v>
      </c>
      <c r="B24" s="268"/>
      <c r="C24" s="71">
        <f xml:space="preserve"> B24*C7</f>
        <v>0</v>
      </c>
      <c r="D24" s="271"/>
      <c r="E24" s="31">
        <f t="shared" si="1"/>
        <v>0</v>
      </c>
      <c r="F24" s="4" t="s">
        <v>17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60" t="s">
        <v>54</v>
      </c>
      <c r="R24" s="61">
        <f xml:space="preserve"> R21-R22-R23</f>
        <v>0</v>
      </c>
      <c r="S24" s="61">
        <f xml:space="preserve"> S21-S22-S23</f>
        <v>0</v>
      </c>
      <c r="T24" s="62">
        <f xml:space="preserve"> T21-T22-T23</f>
        <v>0</v>
      </c>
    </row>
    <row r="25" spans="1:20" ht="15.75" thickBot="1" x14ac:dyDescent="0.3">
      <c r="A25" s="4" t="s">
        <v>55</v>
      </c>
      <c r="B25" s="268"/>
      <c r="C25" s="71">
        <f xml:space="preserve"> B25*C7</f>
        <v>0</v>
      </c>
      <c r="D25" s="271"/>
      <c r="E25" s="31">
        <f t="shared" si="1"/>
        <v>0</v>
      </c>
      <c r="F25" s="4" t="s">
        <v>17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75" t="s">
        <v>56</v>
      </c>
      <c r="R25" s="76"/>
      <c r="S25" s="77"/>
      <c r="T25" s="78"/>
    </row>
    <row r="26" spans="1:20" ht="15.75" thickBot="1" x14ac:dyDescent="0.3">
      <c r="A26" s="4" t="s">
        <v>57</v>
      </c>
      <c r="B26" s="268"/>
      <c r="C26" s="71">
        <f xml:space="preserve"> B26*C7</f>
        <v>0</v>
      </c>
      <c r="D26" s="271"/>
      <c r="E26" s="31">
        <f t="shared" si="1"/>
        <v>0</v>
      </c>
      <c r="F26" s="4" t="s">
        <v>17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60" t="s">
        <v>58</v>
      </c>
      <c r="R26" s="61">
        <f xml:space="preserve"> R24-R25</f>
        <v>0</v>
      </c>
      <c r="S26" s="61">
        <f xml:space="preserve"> S24-S25</f>
        <v>0</v>
      </c>
      <c r="T26" s="62">
        <f xml:space="preserve"> T24-T25</f>
        <v>0</v>
      </c>
    </row>
    <row r="27" spans="1:20" ht="15.75" thickBot="1" x14ac:dyDescent="0.3">
      <c r="A27" s="4" t="s">
        <v>59</v>
      </c>
      <c r="B27" s="268"/>
      <c r="C27" s="71">
        <f xml:space="preserve"> B27*C7</f>
        <v>0</v>
      </c>
      <c r="D27" s="271"/>
      <c r="E27" s="31">
        <f t="shared" si="1"/>
        <v>0</v>
      </c>
      <c r="F27" s="4" t="s">
        <v>17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75" t="s">
        <v>60</v>
      </c>
      <c r="R27" s="76"/>
      <c r="S27" s="76"/>
      <c r="T27" s="79"/>
    </row>
    <row r="28" spans="1:20" ht="15.75" thickBot="1" x14ac:dyDescent="0.3">
      <c r="A28" s="4" t="s">
        <v>61</v>
      </c>
      <c r="B28" s="268"/>
      <c r="C28" s="71">
        <f xml:space="preserve"> B28*C7</f>
        <v>0</v>
      </c>
      <c r="D28" s="271"/>
      <c r="E28" s="31">
        <f t="shared" si="1"/>
        <v>0</v>
      </c>
      <c r="F28" s="4" t="s">
        <v>17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60" t="s">
        <v>62</v>
      </c>
      <c r="R28" s="61">
        <f xml:space="preserve"> R26+R27</f>
        <v>0</v>
      </c>
      <c r="S28" s="61">
        <f xml:space="preserve"> S26+S27</f>
        <v>0</v>
      </c>
      <c r="T28" s="62">
        <f xml:space="preserve"> T26+T27</f>
        <v>0</v>
      </c>
    </row>
    <row r="29" spans="1:20" x14ac:dyDescent="0.25">
      <c r="A29" s="4" t="s">
        <v>63</v>
      </c>
      <c r="B29" s="268"/>
      <c r="C29" s="71">
        <f xml:space="preserve"> B29*C7</f>
        <v>0</v>
      </c>
      <c r="D29" s="271"/>
      <c r="E29" s="31">
        <f t="shared" si="1"/>
        <v>0</v>
      </c>
      <c r="F29" s="4" t="s">
        <v>17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4" t="s">
        <v>64</v>
      </c>
      <c r="B30" s="268"/>
      <c r="C30" s="71">
        <f xml:space="preserve"> B30*C7</f>
        <v>0</v>
      </c>
      <c r="D30" s="271"/>
      <c r="E30" s="31">
        <f t="shared" si="1"/>
        <v>0</v>
      </c>
      <c r="F30" s="4" t="s">
        <v>17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4" t="s">
        <v>65</v>
      </c>
      <c r="B31" s="268"/>
      <c r="C31" s="71">
        <f xml:space="preserve"> B31*C7</f>
        <v>0</v>
      </c>
      <c r="D31" s="271"/>
      <c r="E31" s="31">
        <f t="shared" si="1"/>
        <v>0</v>
      </c>
      <c r="F31" s="4" t="s">
        <v>17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5.75" thickBot="1" x14ac:dyDescent="0.3">
      <c r="A32" s="4" t="s">
        <v>66</v>
      </c>
      <c r="B32" s="269"/>
      <c r="C32" s="80">
        <f xml:space="preserve"> B32*C7</f>
        <v>0</v>
      </c>
      <c r="D32" s="272"/>
      <c r="E32" s="81">
        <f t="shared" si="1"/>
        <v>0</v>
      </c>
      <c r="F32" s="4" t="s">
        <v>17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5.75" thickBot="1" x14ac:dyDescent="0.3">
      <c r="A33" s="52" t="s">
        <v>67</v>
      </c>
      <c r="B33" s="82">
        <f>SUM(B17:B32)</f>
        <v>0</v>
      </c>
      <c r="C33" s="82">
        <f>SUM(C17:C32)</f>
        <v>0</v>
      </c>
      <c r="D33" s="83">
        <f>SUM(D17:D32)</f>
        <v>0</v>
      </c>
      <c r="E33" s="84">
        <f>SUM(E17:E32)</f>
        <v>0</v>
      </c>
      <c r="F33" s="4" t="s">
        <v>21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5.75" thickBot="1" x14ac:dyDescent="0.3">
      <c r="A34" s="4"/>
      <c r="B34" s="59"/>
      <c r="C34" s="59"/>
      <c r="D34" s="59"/>
      <c r="E34" s="59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32" t="s">
        <v>68</v>
      </c>
      <c r="B35" s="85">
        <f xml:space="preserve"> B14+B33</f>
        <v>0</v>
      </c>
      <c r="C35" s="86">
        <f xml:space="preserve"> C14+C33</f>
        <v>0</v>
      </c>
      <c r="D35" s="87">
        <f xml:space="preserve"> D14+D33</f>
        <v>0</v>
      </c>
      <c r="E35" s="86">
        <f xml:space="preserve"> E14+E33</f>
        <v>0</v>
      </c>
      <c r="F35" s="4" t="s">
        <v>21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4" t="s">
        <v>69</v>
      </c>
      <c r="B36" s="70"/>
      <c r="C36" s="31">
        <f xml:space="preserve"> B36*C7</f>
        <v>0</v>
      </c>
      <c r="D36" s="30"/>
      <c r="E36" s="31">
        <f xml:space="preserve"> D36*12</f>
        <v>0</v>
      </c>
      <c r="F36" s="4" t="s">
        <v>17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32" t="s">
        <v>70</v>
      </c>
      <c r="B37" s="88">
        <f>SUM(B35:B36)</f>
        <v>0</v>
      </c>
      <c r="C37" s="34">
        <f>SUM(C35:C36)</f>
        <v>0</v>
      </c>
      <c r="D37" s="35">
        <f>SUM(D35:D36)</f>
        <v>0</v>
      </c>
      <c r="E37" s="34">
        <f xml:space="preserve"> E35+E36</f>
        <v>0</v>
      </c>
      <c r="F37" s="4" t="s">
        <v>21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89" t="s">
        <v>71</v>
      </c>
      <c r="B38" s="70">
        <f xml:space="preserve"> B37/100*24</f>
        <v>0</v>
      </c>
      <c r="C38" s="31">
        <f xml:space="preserve"> B38*C7</f>
        <v>0</v>
      </c>
      <c r="D38" s="30">
        <f xml:space="preserve"> D37/100*24</f>
        <v>0</v>
      </c>
      <c r="E38" s="31">
        <f xml:space="preserve"> E37/100*24</f>
        <v>0</v>
      </c>
      <c r="F38" s="4" t="s">
        <v>17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5.75" thickBot="1" x14ac:dyDescent="0.3">
      <c r="A39" s="32" t="s">
        <v>72</v>
      </c>
      <c r="B39" s="90">
        <f>SUM(B37:B38)</f>
        <v>0</v>
      </c>
      <c r="C39" s="91">
        <f>SUM(C37:C38)</f>
        <v>0</v>
      </c>
      <c r="D39" s="92">
        <f>SUM(D37:D38)</f>
        <v>0</v>
      </c>
      <c r="E39" s="91">
        <f>SUM(E37:E38)</f>
        <v>0</v>
      </c>
      <c r="F39" s="4" t="s">
        <v>21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1"/>
      <c r="B40" s="93"/>
      <c r="C40" s="93"/>
      <c r="D40" s="94"/>
      <c r="E40" s="9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5.75" thickBot="1" x14ac:dyDescent="0.3">
      <c r="A41" s="4"/>
      <c r="B41" s="59"/>
      <c r="C41" s="5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6" t="s">
        <v>73</v>
      </c>
      <c r="B42" s="296" t="s">
        <v>74</v>
      </c>
      <c r="C42" s="297"/>
      <c r="D42" s="95" t="s">
        <v>74</v>
      </c>
      <c r="E42" s="96" t="s">
        <v>75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5.75" thickBot="1" x14ac:dyDescent="0.3">
      <c r="A43" s="6"/>
      <c r="B43" s="97"/>
      <c r="C43" s="98">
        <f xml:space="preserve"> C37</f>
        <v>0</v>
      </c>
      <c r="D43" s="99">
        <f xml:space="preserve"> E37</f>
        <v>0</v>
      </c>
      <c r="E43" s="100">
        <f xml:space="preserve"> E39</f>
        <v>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5">
      <c r="A44" s="41" t="s">
        <v>76</v>
      </c>
      <c r="B44" s="97"/>
      <c r="C44" s="101">
        <f xml:space="preserve"> C43/C7</f>
        <v>0</v>
      </c>
      <c r="D44" s="102">
        <f xml:space="preserve"> D43/11</f>
        <v>0</v>
      </c>
      <c r="E44" s="103">
        <f xml:space="preserve"> E43/11</f>
        <v>0</v>
      </c>
      <c r="F44" s="4" t="s">
        <v>77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6" t="s">
        <v>78</v>
      </c>
      <c r="B45" s="97"/>
      <c r="C45" s="104">
        <f xml:space="preserve"> C44/20</f>
        <v>0</v>
      </c>
      <c r="D45" s="105">
        <f xml:space="preserve"> D44/20</f>
        <v>0</v>
      </c>
      <c r="E45" s="106">
        <f xml:space="preserve"> E44/20</f>
        <v>0</v>
      </c>
      <c r="F45" s="4" t="s">
        <v>79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.75" thickBot="1" x14ac:dyDescent="0.3">
      <c r="A46" s="6" t="s">
        <v>80</v>
      </c>
      <c r="B46" s="82"/>
      <c r="C46" s="107">
        <f xml:space="preserve"> C45/8</f>
        <v>0</v>
      </c>
      <c r="D46" s="108">
        <f xml:space="preserve"> D45/8</f>
        <v>0</v>
      </c>
      <c r="E46" s="109">
        <f xml:space="preserve"> E45/8</f>
        <v>0</v>
      </c>
      <c r="F46" s="4" t="s">
        <v>81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4"/>
      <c r="B48" s="4"/>
      <c r="C48" s="110" t="s">
        <v>82</v>
      </c>
      <c r="D48" s="110"/>
      <c r="E48" s="110"/>
      <c r="F48" s="263"/>
      <c r="G48" s="4"/>
      <c r="H48" s="4"/>
      <c r="I48" s="4"/>
      <c r="J48" s="4"/>
      <c r="K48" s="4"/>
      <c r="L48" s="4"/>
      <c r="M48" s="4"/>
      <c r="N48" s="4"/>
      <c r="O48" s="4"/>
      <c r="P48" s="4"/>
      <c r="Q48" s="111"/>
      <c r="R48" s="4"/>
      <c r="S48" s="4"/>
      <c r="T48" s="4"/>
    </row>
    <row r="49" spans="1:20" x14ac:dyDescent="0.25">
      <c r="A49" s="111"/>
      <c r="B49" s="4"/>
      <c r="C49" s="110" t="s">
        <v>83</v>
      </c>
      <c r="D49" s="110"/>
      <c r="E49" s="110"/>
      <c r="F49" s="26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4"/>
      <c r="B50" s="4"/>
      <c r="C50" s="110" t="s">
        <v>84</v>
      </c>
      <c r="D50" s="110"/>
      <c r="E50" s="110"/>
      <c r="F50" s="26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6" t="s">
        <v>85</v>
      </c>
      <c r="B53" s="6"/>
      <c r="C53" s="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6" t="s">
        <v>86</v>
      </c>
      <c r="B55" s="6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 t="s">
        <v>87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 t="s">
        <v>89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6" t="s">
        <v>90</v>
      </c>
      <c r="B60" s="6"/>
      <c r="C60" s="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A61" s="4" t="s">
        <v>91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4" t="s">
        <v>92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4" t="s">
        <v>93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6" t="s">
        <v>94</v>
      </c>
      <c r="B65" s="6"/>
      <c r="C65" s="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4" t="s">
        <v>95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5">
      <c r="A67" s="4" t="s">
        <v>96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4" t="s">
        <v>97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6" t="s">
        <v>98</v>
      </c>
      <c r="B70" s="6"/>
      <c r="C70" s="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 t="s">
        <v>99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 t="s">
        <v>100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 t="s">
        <v>101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6" t="s">
        <v>102</v>
      </c>
      <c r="B75" s="6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4" t="s">
        <v>103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6" t="s">
        <v>104</v>
      </c>
      <c r="B78" s="6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4" t="s">
        <v>105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6" t="s">
        <v>106</v>
      </c>
      <c r="B81" s="6"/>
      <c r="C81" s="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 t="s">
        <v>107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6" t="s">
        <v>108</v>
      </c>
      <c r="B84" s="6"/>
      <c r="C84" s="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 t="s">
        <v>109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6" t="s">
        <v>110</v>
      </c>
      <c r="B87" s="6"/>
      <c r="C87" s="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4" t="s">
        <v>111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 t="s">
        <v>112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4" t="s">
        <v>113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6" t="s">
        <v>114</v>
      </c>
      <c r="B92" s="6"/>
      <c r="C92" s="6"/>
      <c r="D92" s="4"/>
      <c r="E92" s="4"/>
      <c r="F92" s="4"/>
      <c r="G92" s="4"/>
      <c r="H92" s="4"/>
    </row>
    <row r="93" spans="1:20" x14ac:dyDescent="0.25">
      <c r="A93" s="4" t="s">
        <v>115</v>
      </c>
      <c r="B93" s="4"/>
      <c r="C93" s="4"/>
      <c r="D93" s="4"/>
      <c r="E93" s="4"/>
      <c r="F93" s="4"/>
      <c r="G93" s="4"/>
      <c r="H93" s="4"/>
    </row>
    <row r="94" spans="1:20" x14ac:dyDescent="0.25">
      <c r="A94" s="4" t="s">
        <v>116</v>
      </c>
      <c r="B94" s="4"/>
      <c r="C94" s="4"/>
      <c r="D94" s="4"/>
      <c r="E94" s="4"/>
      <c r="F94" s="4"/>
      <c r="G94" s="4"/>
      <c r="H94" s="4"/>
    </row>
    <row r="95" spans="1:20" x14ac:dyDescent="0.25">
      <c r="A95" s="4"/>
      <c r="B95" s="4"/>
      <c r="C95" s="4"/>
      <c r="D95" s="4"/>
      <c r="E95" s="4"/>
      <c r="F95" s="4"/>
      <c r="G95" s="4"/>
      <c r="H95" s="4"/>
    </row>
    <row r="96" spans="1:20" x14ac:dyDescent="0.25">
      <c r="A96" s="4" t="s">
        <v>117</v>
      </c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 t="s">
        <v>118</v>
      </c>
      <c r="B98" s="4"/>
      <c r="C98" s="4"/>
      <c r="D98" s="4"/>
      <c r="E98" s="4"/>
      <c r="F98" s="4"/>
      <c r="G98" s="4"/>
      <c r="H98" s="4"/>
    </row>
    <row r="99" spans="1:8" x14ac:dyDescent="0.25">
      <c r="A99" s="4" t="s">
        <v>119</v>
      </c>
      <c r="B99" s="4"/>
      <c r="C99" s="4"/>
      <c r="D99" s="4"/>
      <c r="E99" s="4"/>
      <c r="F99" s="4"/>
      <c r="G99" s="4"/>
      <c r="H99" s="4"/>
    </row>
  </sheetData>
  <mergeCells count="5">
    <mergeCell ref="B6:C6"/>
    <mergeCell ref="D6:E6"/>
    <mergeCell ref="G7:L7"/>
    <mergeCell ref="B42:C42"/>
    <mergeCell ref="G9:L9"/>
  </mergeCells>
  <hyperlinks>
    <hyperlink ref="G2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9"/>
  <sheetViews>
    <sheetView topLeftCell="A34" workbookViewId="0">
      <selection activeCell="E13" sqref="E13"/>
    </sheetView>
  </sheetViews>
  <sheetFormatPr defaultRowHeight="15" x14ac:dyDescent="0.25"/>
  <cols>
    <col min="4" max="4" width="42.85546875" bestFit="1" customWidth="1"/>
  </cols>
  <sheetData>
    <row r="4" spans="1:16" ht="18.75" x14ac:dyDescent="0.3">
      <c r="A4" s="1" t="s">
        <v>120</v>
      </c>
      <c r="B4" s="112"/>
      <c r="C4" s="112"/>
      <c r="D4" s="113"/>
      <c r="E4" s="113"/>
      <c r="F4" s="113"/>
      <c r="G4" s="113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113" t="s">
        <v>121</v>
      </c>
      <c r="B5" s="113"/>
      <c r="C5" s="113"/>
      <c r="D5" s="113"/>
      <c r="E5" s="113"/>
      <c r="F5" s="113"/>
      <c r="G5" s="113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113" t="s">
        <v>122</v>
      </c>
      <c r="B6" s="113"/>
      <c r="C6" s="113"/>
      <c r="D6" s="113"/>
      <c r="E6" s="113"/>
      <c r="F6" s="113"/>
      <c r="G6" s="113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113" t="s">
        <v>123</v>
      </c>
      <c r="B7" s="113"/>
      <c r="C7" s="113"/>
      <c r="D7" s="113"/>
      <c r="E7" s="113"/>
      <c r="F7" s="113"/>
      <c r="G7" s="113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113" t="s">
        <v>124</v>
      </c>
      <c r="B8" s="113"/>
      <c r="C8" s="113"/>
      <c r="D8" s="113"/>
      <c r="E8" s="113"/>
      <c r="F8" s="113"/>
      <c r="G8" s="113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113" t="s">
        <v>125</v>
      </c>
      <c r="B9" s="113"/>
      <c r="C9" s="113"/>
      <c r="D9" s="113"/>
      <c r="E9" s="113"/>
      <c r="F9" s="113"/>
      <c r="G9" s="113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113" t="s">
        <v>126</v>
      </c>
      <c r="B10" s="113"/>
      <c r="C10" s="113"/>
      <c r="D10" s="113"/>
      <c r="E10" s="113"/>
      <c r="F10" s="113"/>
      <c r="G10" s="113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113"/>
      <c r="B11" s="113"/>
      <c r="C11" s="113"/>
      <c r="D11" s="113"/>
      <c r="E11" s="113"/>
      <c r="F11" s="113"/>
      <c r="G11" s="113"/>
      <c r="H11" s="4"/>
      <c r="I11" s="4"/>
      <c r="J11" s="4"/>
      <c r="K11" s="4"/>
      <c r="L11" s="4"/>
      <c r="M11" s="4"/>
      <c r="N11" s="4"/>
      <c r="O11" s="4"/>
      <c r="P11" s="4"/>
    </row>
    <row r="12" spans="1:16" ht="15.75" thickBot="1" x14ac:dyDescent="0.3">
      <c r="A12" s="114" t="s">
        <v>127</v>
      </c>
      <c r="B12" s="114"/>
      <c r="C12" s="114"/>
      <c r="D12" s="114"/>
      <c r="E12" s="115" t="s">
        <v>128</v>
      </c>
      <c r="F12" s="113"/>
      <c r="G12" s="113"/>
      <c r="H12" s="6" t="s">
        <v>8</v>
      </c>
      <c r="I12" s="6"/>
      <c r="J12" s="6"/>
      <c r="K12" s="6"/>
      <c r="L12" s="4"/>
      <c r="M12" s="4"/>
      <c r="N12" s="4"/>
      <c r="O12" s="4"/>
      <c r="P12" s="4"/>
    </row>
    <row r="13" spans="1:16" ht="15.75" thickBot="1" x14ac:dyDescent="0.3">
      <c r="A13" s="113" t="s">
        <v>129</v>
      </c>
      <c r="B13" s="113"/>
      <c r="C13" s="113"/>
      <c r="D13" s="113" t="s">
        <v>130</v>
      </c>
      <c r="E13" s="275"/>
      <c r="F13" s="113"/>
      <c r="G13" s="113"/>
      <c r="H13" s="4"/>
      <c r="I13" s="4"/>
      <c r="J13" s="4"/>
      <c r="K13" s="4"/>
      <c r="L13" s="4"/>
      <c r="M13" s="4"/>
      <c r="N13" s="4"/>
      <c r="O13" s="116"/>
      <c r="P13" s="116"/>
    </row>
    <row r="14" spans="1:16" x14ac:dyDescent="0.25">
      <c r="A14" s="113"/>
      <c r="B14" s="113"/>
      <c r="C14" s="113"/>
      <c r="D14" s="113" t="s">
        <v>131</v>
      </c>
      <c r="E14" s="276"/>
      <c r="G14" s="36" t="s">
        <v>132</v>
      </c>
      <c r="H14" s="37"/>
      <c r="I14" s="37"/>
      <c r="J14" s="37"/>
      <c r="K14" s="37"/>
      <c r="L14" s="37"/>
      <c r="M14" s="37"/>
      <c r="N14" s="37"/>
      <c r="O14" s="38"/>
      <c r="P14" s="116"/>
    </row>
    <row r="15" spans="1:16" ht="15.75" thickBot="1" x14ac:dyDescent="0.3">
      <c r="A15" s="113"/>
      <c r="B15" s="113"/>
      <c r="C15" s="113"/>
      <c r="D15" s="113" t="s">
        <v>133</v>
      </c>
      <c r="E15" s="276"/>
      <c r="G15" s="42" t="s">
        <v>134</v>
      </c>
      <c r="H15" s="43"/>
      <c r="I15" s="43"/>
      <c r="J15" s="43"/>
      <c r="K15" s="43"/>
      <c r="L15" s="43"/>
      <c r="M15" s="43"/>
      <c r="N15" s="43"/>
      <c r="O15" s="44"/>
      <c r="P15" s="116"/>
    </row>
    <row r="16" spans="1:16" x14ac:dyDescent="0.25">
      <c r="A16" s="113"/>
      <c r="B16" s="113"/>
      <c r="C16" s="113"/>
      <c r="D16" s="113" t="s">
        <v>135</v>
      </c>
      <c r="E16" s="117"/>
      <c r="G16" s="36" t="s">
        <v>136</v>
      </c>
      <c r="H16" s="37"/>
      <c r="I16" s="37"/>
      <c r="J16" s="37"/>
      <c r="K16" s="37"/>
      <c r="L16" s="37"/>
      <c r="M16" s="37"/>
      <c r="N16" s="37"/>
      <c r="O16" s="38"/>
      <c r="P16" s="116"/>
    </row>
    <row r="17" spans="1:16" x14ac:dyDescent="0.25">
      <c r="A17" s="113"/>
      <c r="B17" s="113"/>
      <c r="C17" s="113"/>
      <c r="D17" s="113" t="s">
        <v>137</v>
      </c>
      <c r="E17" s="276"/>
      <c r="G17" s="72" t="s">
        <v>138</v>
      </c>
      <c r="H17" s="73"/>
      <c r="I17" s="73"/>
      <c r="J17" s="73"/>
      <c r="K17" s="73"/>
      <c r="L17" s="73"/>
      <c r="M17" s="73"/>
      <c r="N17" s="73"/>
      <c r="O17" s="74"/>
      <c r="P17" s="116"/>
    </row>
    <row r="18" spans="1:16" ht="15.75" thickBot="1" x14ac:dyDescent="0.3">
      <c r="A18" s="113"/>
      <c r="B18" s="113"/>
      <c r="C18" s="113"/>
      <c r="D18" s="113" t="s">
        <v>139</v>
      </c>
      <c r="E18" s="276"/>
      <c r="G18" s="42" t="s">
        <v>140</v>
      </c>
      <c r="H18" s="43"/>
      <c r="I18" s="43"/>
      <c r="J18" s="43"/>
      <c r="K18" s="43"/>
      <c r="L18" s="43"/>
      <c r="M18" s="43"/>
      <c r="N18" s="43"/>
      <c r="O18" s="44"/>
      <c r="P18" s="116"/>
    </row>
    <row r="19" spans="1:16" ht="15.75" thickBot="1" x14ac:dyDescent="0.3">
      <c r="A19" s="113"/>
      <c r="B19" s="113"/>
      <c r="C19" s="113"/>
      <c r="D19" s="113" t="s">
        <v>141</v>
      </c>
      <c r="E19" s="276"/>
      <c r="F19" s="113"/>
      <c r="G19" s="298" t="s">
        <v>239</v>
      </c>
      <c r="H19" s="299"/>
      <c r="I19" s="299"/>
      <c r="J19" s="299"/>
      <c r="K19" s="299"/>
      <c r="L19" s="300"/>
      <c r="M19" s="4"/>
      <c r="N19" s="4"/>
      <c r="O19" s="116"/>
      <c r="P19" s="116"/>
    </row>
    <row r="20" spans="1:16" x14ac:dyDescent="0.25">
      <c r="A20" s="113"/>
      <c r="B20" s="113"/>
      <c r="C20" s="113"/>
      <c r="D20" s="113" t="s">
        <v>142</v>
      </c>
      <c r="E20" s="276"/>
      <c r="F20" s="113"/>
      <c r="G20" s="113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113"/>
      <c r="B21" s="113"/>
      <c r="C21" s="113"/>
      <c r="D21" s="113" t="s">
        <v>143</v>
      </c>
      <c r="E21" s="276"/>
      <c r="F21" s="113"/>
      <c r="G21" s="113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113"/>
      <c r="B22" s="113"/>
      <c r="C22" s="113"/>
      <c r="D22" s="113" t="s">
        <v>144</v>
      </c>
      <c r="E22" s="276"/>
      <c r="F22" s="113"/>
      <c r="G22" s="113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113" t="s">
        <v>145</v>
      </c>
      <c r="B23" s="113"/>
      <c r="C23" s="113"/>
      <c r="D23" s="113" t="s">
        <v>146</v>
      </c>
      <c r="E23" s="276"/>
      <c r="F23" s="113"/>
      <c r="G23" s="113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113"/>
      <c r="B24" s="113"/>
      <c r="C24" s="113"/>
      <c r="D24" s="113" t="s">
        <v>147</v>
      </c>
      <c r="E24" s="276"/>
      <c r="F24" s="113"/>
      <c r="G24" s="113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113"/>
      <c r="B25" s="113"/>
      <c r="C25" s="113"/>
      <c r="D25" s="113" t="s">
        <v>148</v>
      </c>
      <c r="E25" s="276"/>
      <c r="F25" s="113"/>
      <c r="G25" s="113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113"/>
      <c r="B26" s="113"/>
      <c r="C26" s="113"/>
      <c r="D26" s="113" t="s">
        <v>149</v>
      </c>
      <c r="E26" s="276"/>
      <c r="F26" s="113"/>
      <c r="G26" s="113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113"/>
      <c r="B27" s="113"/>
      <c r="C27" s="113"/>
      <c r="D27" s="113" t="s">
        <v>150</v>
      </c>
      <c r="E27" s="276"/>
      <c r="F27" s="113"/>
      <c r="G27" s="113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113"/>
      <c r="B28" s="113"/>
      <c r="C28" s="113"/>
      <c r="D28" s="113" t="s">
        <v>151</v>
      </c>
      <c r="E28" s="276"/>
      <c r="F28" s="113"/>
      <c r="G28" s="113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113" t="s">
        <v>152</v>
      </c>
      <c r="B29" s="113"/>
      <c r="C29" s="113"/>
      <c r="D29" s="113" t="s">
        <v>153</v>
      </c>
      <c r="E29" s="276"/>
      <c r="F29" s="113"/>
      <c r="G29" s="113"/>
      <c r="H29" s="4"/>
      <c r="I29" s="4"/>
      <c r="J29" s="4"/>
      <c r="K29" s="4"/>
      <c r="L29" s="4"/>
      <c r="M29" s="4"/>
      <c r="N29" s="4"/>
      <c r="O29" s="4"/>
      <c r="P29" s="4"/>
    </row>
    <row r="30" spans="1:16" ht="15.75" thickBot="1" x14ac:dyDescent="0.3">
      <c r="A30" s="118"/>
      <c r="B30" s="118"/>
      <c r="C30" s="118"/>
      <c r="D30" s="118" t="s">
        <v>154</v>
      </c>
      <c r="E30" s="277"/>
      <c r="F30" s="113"/>
      <c r="G30" s="113"/>
      <c r="H30" s="4"/>
      <c r="I30" s="4"/>
      <c r="J30" s="4"/>
      <c r="K30" s="4"/>
      <c r="L30" s="4"/>
      <c r="M30" s="4"/>
      <c r="N30" s="4"/>
      <c r="O30" s="4"/>
      <c r="P30" s="4"/>
    </row>
    <row r="31" spans="1:16" ht="15.75" thickBot="1" x14ac:dyDescent="0.3">
      <c r="A31" s="114" t="s">
        <v>155</v>
      </c>
      <c r="B31" s="114"/>
      <c r="C31" s="114"/>
      <c r="D31" s="114"/>
      <c r="E31" s="119">
        <f>SUM(E13:E30)</f>
        <v>0</v>
      </c>
      <c r="F31" s="113"/>
      <c r="G31" s="113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113"/>
      <c r="B32" s="113"/>
      <c r="C32" s="113"/>
      <c r="D32" s="113"/>
      <c r="E32" s="113"/>
      <c r="F32" s="113"/>
      <c r="G32" s="113"/>
      <c r="H32" s="4"/>
      <c r="I32" s="4"/>
      <c r="J32" s="4"/>
      <c r="K32" s="4"/>
      <c r="L32" s="4"/>
      <c r="M32" s="4"/>
      <c r="N32" s="4"/>
      <c r="O32" s="4"/>
      <c r="P32" s="4"/>
    </row>
    <row r="33" spans="1:16" ht="15.75" thickBot="1" x14ac:dyDescent="0.3">
      <c r="A33" s="114" t="s">
        <v>156</v>
      </c>
      <c r="B33" s="114"/>
      <c r="C33" s="114"/>
      <c r="D33" s="114"/>
      <c r="E33" s="115" t="s">
        <v>128</v>
      </c>
      <c r="F33" s="113"/>
      <c r="G33" s="113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113" t="s">
        <v>157</v>
      </c>
      <c r="B34" s="113"/>
      <c r="C34" s="113"/>
      <c r="D34" s="113" t="s">
        <v>158</v>
      </c>
      <c r="E34" s="275"/>
      <c r="F34" s="113"/>
      <c r="G34" s="113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113"/>
      <c r="B35" s="113"/>
      <c r="C35" s="113"/>
      <c r="D35" s="113" t="s">
        <v>159</v>
      </c>
      <c r="E35" s="276"/>
      <c r="F35" s="113"/>
      <c r="G35" s="113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113"/>
      <c r="B36" s="113"/>
      <c r="C36" s="113"/>
      <c r="D36" s="113" t="s">
        <v>160</v>
      </c>
      <c r="E36" s="276"/>
      <c r="F36" s="113"/>
      <c r="G36" s="113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113"/>
      <c r="B37" s="113"/>
      <c r="C37" s="113"/>
      <c r="D37" s="113"/>
      <c r="E37" s="276"/>
      <c r="F37" s="113"/>
      <c r="G37" s="113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113" t="s">
        <v>161</v>
      </c>
      <c r="B38" s="113"/>
      <c r="C38" s="113"/>
      <c r="D38" s="113" t="s">
        <v>162</v>
      </c>
      <c r="E38" s="276"/>
      <c r="F38" s="113"/>
      <c r="G38" s="113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113"/>
      <c r="B39" s="113"/>
      <c r="C39" s="113"/>
      <c r="D39" s="113" t="s">
        <v>163</v>
      </c>
      <c r="E39" s="276"/>
      <c r="F39" s="113"/>
      <c r="G39" s="113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113"/>
      <c r="B40" s="113"/>
      <c r="C40" s="113"/>
      <c r="D40" s="113" t="s">
        <v>164</v>
      </c>
      <c r="E40" s="276"/>
      <c r="F40" s="113"/>
      <c r="G40" s="113"/>
      <c r="H40" s="4"/>
      <c r="I40" s="4"/>
      <c r="J40" s="4"/>
      <c r="K40" s="4"/>
      <c r="L40" s="4"/>
      <c r="M40" s="4"/>
      <c r="N40" s="4"/>
      <c r="O40" s="4"/>
      <c r="P40" s="4"/>
    </row>
    <row r="41" spans="1:16" ht="15.75" thickBot="1" x14ac:dyDescent="0.3">
      <c r="A41" s="118"/>
      <c r="B41" s="118"/>
      <c r="C41" s="118"/>
      <c r="D41" s="118" t="s">
        <v>165</v>
      </c>
      <c r="E41" s="277"/>
      <c r="F41" s="113"/>
      <c r="G41" s="113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thickBot="1" x14ac:dyDescent="0.3">
      <c r="A42" s="114" t="s">
        <v>166</v>
      </c>
      <c r="B42" s="114"/>
      <c r="C42" s="114"/>
      <c r="D42" s="114"/>
      <c r="E42" s="119">
        <f>SUM(E34:E41)</f>
        <v>0</v>
      </c>
      <c r="F42" s="113"/>
      <c r="G42" s="113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120"/>
      <c r="B43" s="120"/>
      <c r="C43" s="120"/>
      <c r="D43" s="120"/>
      <c r="E43" s="121"/>
      <c r="F43" s="113"/>
      <c r="G43" s="113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thickBot="1" x14ac:dyDescent="0.3">
      <c r="A44" s="113" t="s">
        <v>167</v>
      </c>
      <c r="B44" s="113"/>
      <c r="C44" s="113"/>
      <c r="D44" s="113"/>
      <c r="E44" s="122"/>
      <c r="F44" s="113"/>
      <c r="G44" s="113"/>
      <c r="H44" s="4"/>
      <c r="I44" s="4"/>
      <c r="J44" s="4"/>
      <c r="K44" s="4"/>
      <c r="L44" s="4"/>
      <c r="M44" s="4"/>
      <c r="N44" s="4"/>
      <c r="O44" s="4"/>
      <c r="P44" s="116"/>
    </row>
    <row r="45" spans="1:16" ht="15.75" thickBot="1" x14ac:dyDescent="0.3">
      <c r="A45" s="113"/>
      <c r="B45" s="113"/>
      <c r="C45" s="113"/>
      <c r="D45" s="123" t="s">
        <v>168</v>
      </c>
      <c r="E45" s="124">
        <f xml:space="preserve"> E42-E31</f>
        <v>0</v>
      </c>
      <c r="G45" s="125" t="s">
        <v>169</v>
      </c>
      <c r="H45" s="126"/>
      <c r="I45" s="37"/>
      <c r="J45" s="37"/>
      <c r="K45" s="37"/>
      <c r="L45" s="37"/>
      <c r="M45" s="37"/>
      <c r="N45" s="37"/>
      <c r="O45" s="38"/>
      <c r="P45" s="39"/>
    </row>
    <row r="46" spans="1:16" x14ac:dyDescent="0.25">
      <c r="A46" s="111"/>
      <c r="B46" s="111"/>
      <c r="C46" s="113"/>
      <c r="D46" s="113"/>
      <c r="E46" s="113"/>
      <c r="G46" s="127" t="s">
        <v>170</v>
      </c>
      <c r="H46" s="128"/>
      <c r="I46" s="73"/>
      <c r="J46" s="73"/>
      <c r="K46" s="73"/>
      <c r="L46" s="73"/>
      <c r="M46" s="73"/>
      <c r="N46" s="73"/>
      <c r="O46" s="74"/>
      <c r="P46" s="39"/>
    </row>
    <row r="47" spans="1:16" ht="15.75" thickBot="1" x14ac:dyDescent="0.3">
      <c r="A47" s="113"/>
      <c r="B47" s="113"/>
      <c r="C47" s="113"/>
      <c r="D47" s="113"/>
      <c r="E47" s="113"/>
      <c r="G47" s="129" t="s">
        <v>171</v>
      </c>
      <c r="H47" s="130"/>
      <c r="I47" s="43"/>
      <c r="J47" s="43"/>
      <c r="K47" s="43"/>
      <c r="L47" s="43"/>
      <c r="M47" s="43"/>
      <c r="N47" s="43"/>
      <c r="O47" s="44"/>
      <c r="P47" s="39"/>
    </row>
    <row r="48" spans="1:16" x14ac:dyDescent="0.25">
      <c r="A48" s="113"/>
      <c r="B48" s="113"/>
      <c r="C48" s="113"/>
      <c r="D48" s="113"/>
      <c r="E48" s="113"/>
      <c r="F48" s="113"/>
      <c r="G48" s="113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113"/>
      <c r="B49" s="113"/>
      <c r="C49" s="113"/>
      <c r="D49" s="113"/>
      <c r="E49" s="113"/>
      <c r="F49" s="113"/>
      <c r="G49" s="113"/>
      <c r="H49" s="4"/>
      <c r="I49" s="4"/>
      <c r="J49" s="4"/>
      <c r="K49" s="4"/>
      <c r="L49" s="4"/>
      <c r="M49" s="4"/>
      <c r="N49" s="4"/>
      <c r="O49" s="4"/>
      <c r="P49" s="4"/>
    </row>
  </sheetData>
  <mergeCells count="1">
    <mergeCell ref="G19:L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opLeftCell="A4" workbookViewId="0">
      <selection activeCell="B7" sqref="B7"/>
    </sheetView>
  </sheetViews>
  <sheetFormatPr defaultRowHeight="15" x14ac:dyDescent="0.25"/>
  <cols>
    <col min="1" max="1" width="28.28515625" bestFit="1" customWidth="1"/>
    <col min="2" max="2" width="26.85546875" bestFit="1" customWidth="1"/>
    <col min="3" max="3" width="9.85546875" bestFit="1" customWidth="1"/>
    <col min="4" max="4" width="26.85546875" bestFit="1" customWidth="1"/>
    <col min="5" max="5" width="9.85546875" bestFit="1" customWidth="1"/>
    <col min="6" max="6" width="26.85546875" bestFit="1" customWidth="1"/>
    <col min="7" max="7" width="9.85546875" bestFit="1" customWidth="1"/>
    <col min="8" max="8" width="26.85546875" bestFit="1" customWidth="1"/>
    <col min="9" max="9" width="9.85546875" bestFit="1" customWidth="1"/>
    <col min="10" max="10" width="26.85546875" bestFit="1" customWidth="1"/>
    <col min="11" max="11" width="9.85546875" bestFit="1" customWidth="1"/>
    <col min="12" max="12" width="26.7109375" customWidth="1"/>
    <col min="13" max="13" width="11.85546875" customWidth="1"/>
    <col min="14" max="14" width="11.140625" bestFit="1" customWidth="1"/>
  </cols>
  <sheetData>
    <row r="2" spans="1:14" ht="15.75" thickBot="1" x14ac:dyDescent="0.3"/>
    <row r="3" spans="1:14" ht="19.5" thickBot="1" x14ac:dyDescent="0.35">
      <c r="A3" s="1" t="s">
        <v>172</v>
      </c>
      <c r="B3" s="293" t="s">
        <v>240</v>
      </c>
      <c r="C3" s="294"/>
      <c r="D3" s="294"/>
      <c r="E3" s="294"/>
      <c r="F3" s="294"/>
      <c r="G3" s="295"/>
      <c r="H3" s="113"/>
      <c r="I3" s="113"/>
      <c r="J3" s="113"/>
      <c r="K3" s="113"/>
      <c r="L3" s="113"/>
      <c r="M3" s="113"/>
      <c r="N3" s="113"/>
    </row>
    <row r="4" spans="1:14" ht="15.75" thickBo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31"/>
    </row>
    <row r="5" spans="1:14" x14ac:dyDescent="0.25">
      <c r="A5" s="132"/>
      <c r="B5" s="133"/>
      <c r="C5" s="134"/>
      <c r="D5" s="133"/>
      <c r="E5" s="134"/>
      <c r="F5" s="133"/>
      <c r="G5" s="134"/>
      <c r="H5" s="133"/>
      <c r="I5" s="134"/>
      <c r="J5" s="133"/>
      <c r="K5" s="134"/>
      <c r="L5" s="133"/>
      <c r="M5" s="134"/>
      <c r="N5" s="135" t="s">
        <v>173</v>
      </c>
    </row>
    <row r="6" spans="1:14" ht="15.75" thickBot="1" x14ac:dyDescent="0.3">
      <c r="A6" s="136"/>
      <c r="B6" s="137" t="s">
        <v>242</v>
      </c>
      <c r="C6" s="138" t="s">
        <v>128</v>
      </c>
      <c r="D6" s="137" t="s">
        <v>243</v>
      </c>
      <c r="E6" s="138" t="s">
        <v>128</v>
      </c>
      <c r="F6" s="137" t="s">
        <v>244</v>
      </c>
      <c r="G6" s="138" t="s">
        <v>128</v>
      </c>
      <c r="H6" s="137" t="s">
        <v>245</v>
      </c>
      <c r="I6" s="138" t="s">
        <v>128</v>
      </c>
      <c r="J6" s="137" t="s">
        <v>246</v>
      </c>
      <c r="K6" s="138" t="s">
        <v>128</v>
      </c>
      <c r="L6" s="137" t="s">
        <v>247</v>
      </c>
      <c r="M6" s="138" t="s">
        <v>128</v>
      </c>
      <c r="N6" s="139" t="s">
        <v>174</v>
      </c>
    </row>
    <row r="7" spans="1:14" ht="15.75" thickBot="1" x14ac:dyDescent="0.3">
      <c r="A7" s="140" t="s">
        <v>175</v>
      </c>
      <c r="B7" s="140" t="s">
        <v>175</v>
      </c>
      <c r="C7" s="141"/>
      <c r="D7" s="140" t="s">
        <v>175</v>
      </c>
      <c r="E7" s="141"/>
      <c r="F7" s="140" t="s">
        <v>175</v>
      </c>
      <c r="G7" s="141"/>
      <c r="H7" s="140" t="s">
        <v>175</v>
      </c>
      <c r="I7" s="141"/>
      <c r="J7" s="140" t="s">
        <v>175</v>
      </c>
      <c r="K7" s="141"/>
      <c r="L7" s="140" t="s">
        <v>175</v>
      </c>
      <c r="M7" s="141"/>
      <c r="N7" s="142"/>
    </row>
    <row r="8" spans="1:14" x14ac:dyDescent="0.25">
      <c r="A8" s="278"/>
      <c r="B8" s="144" t="s">
        <v>176</v>
      </c>
      <c r="C8" s="145"/>
      <c r="D8" s="144" t="s">
        <v>177</v>
      </c>
      <c r="E8" s="146"/>
      <c r="F8" s="144" t="s">
        <v>176</v>
      </c>
      <c r="G8" s="146"/>
      <c r="H8" s="144" t="s">
        <v>176</v>
      </c>
      <c r="I8" s="146"/>
      <c r="J8" s="144" t="s">
        <v>176</v>
      </c>
      <c r="K8" s="146"/>
      <c r="L8" s="144" t="s">
        <v>176</v>
      </c>
      <c r="M8" s="146"/>
      <c r="N8" s="147"/>
    </row>
    <row r="9" spans="1:14" ht="15.75" thickBot="1" x14ac:dyDescent="0.3">
      <c r="A9" s="279"/>
      <c r="B9" s="149" t="s">
        <v>178</v>
      </c>
      <c r="C9" s="150"/>
      <c r="D9" s="149" t="s">
        <v>178</v>
      </c>
      <c r="E9" s="151"/>
      <c r="F9" s="149" t="s">
        <v>178</v>
      </c>
      <c r="G9" s="151"/>
      <c r="H9" s="149" t="s">
        <v>178</v>
      </c>
      <c r="I9" s="151"/>
      <c r="J9" s="149" t="s">
        <v>178</v>
      </c>
      <c r="K9" s="151"/>
      <c r="L9" s="149" t="s">
        <v>178</v>
      </c>
      <c r="M9" s="151"/>
      <c r="N9" s="152"/>
    </row>
    <row r="10" spans="1:14" x14ac:dyDescent="0.25">
      <c r="A10" s="148"/>
      <c r="B10" s="153" t="s">
        <v>179</v>
      </c>
      <c r="C10" s="154">
        <f xml:space="preserve"> C8-C9</f>
        <v>0</v>
      </c>
      <c r="D10" s="153" t="s">
        <v>179</v>
      </c>
      <c r="E10" s="155">
        <f xml:space="preserve"> E8-E9</f>
        <v>0</v>
      </c>
      <c r="F10" s="153" t="s">
        <v>179</v>
      </c>
      <c r="G10" s="155">
        <f xml:space="preserve"> G8-G9</f>
        <v>0</v>
      </c>
      <c r="H10" s="153" t="s">
        <v>179</v>
      </c>
      <c r="I10" s="155">
        <f xml:space="preserve"> I8-I9</f>
        <v>0</v>
      </c>
      <c r="J10" s="153" t="s">
        <v>179</v>
      </c>
      <c r="K10" s="155">
        <f xml:space="preserve"> K8-K9</f>
        <v>0</v>
      </c>
      <c r="L10" s="153" t="s">
        <v>179</v>
      </c>
      <c r="M10" s="155">
        <f xml:space="preserve"> M8-M9</f>
        <v>0</v>
      </c>
      <c r="N10" s="143"/>
    </row>
    <row r="11" spans="1:14" ht="15.75" thickBot="1" x14ac:dyDescent="0.3">
      <c r="A11" s="156"/>
      <c r="B11" s="157"/>
      <c r="C11" s="158"/>
      <c r="D11" s="157"/>
      <c r="E11" s="159"/>
      <c r="F11" s="157"/>
      <c r="G11" s="159"/>
      <c r="H11" s="157"/>
      <c r="I11" s="159"/>
      <c r="J11" s="157"/>
      <c r="K11" s="159"/>
      <c r="L11" s="157"/>
      <c r="M11" s="159"/>
      <c r="N11" s="148"/>
    </row>
    <row r="12" spans="1:14" ht="15.75" thickBot="1" x14ac:dyDescent="0.3">
      <c r="A12" s="160" t="s">
        <v>180</v>
      </c>
      <c r="B12" s="161" t="s">
        <v>181</v>
      </c>
      <c r="C12" s="162"/>
      <c r="D12" s="161" t="s">
        <v>181</v>
      </c>
      <c r="E12" s="163"/>
      <c r="F12" s="161" t="s">
        <v>181</v>
      </c>
      <c r="G12" s="163"/>
      <c r="H12" s="161" t="s">
        <v>181</v>
      </c>
      <c r="I12" s="163"/>
      <c r="J12" s="161" t="s">
        <v>181</v>
      </c>
      <c r="K12" s="163"/>
      <c r="L12" s="161" t="s">
        <v>181</v>
      </c>
      <c r="M12" s="163"/>
      <c r="N12" s="164" t="s">
        <v>182</v>
      </c>
    </row>
    <row r="13" spans="1:14" x14ac:dyDescent="0.25">
      <c r="A13" s="165" t="s">
        <v>241</v>
      </c>
      <c r="B13" s="166">
        <v>1</v>
      </c>
      <c r="C13" s="167">
        <f xml:space="preserve"> B13*C10</f>
        <v>0</v>
      </c>
      <c r="D13" s="166">
        <v>1</v>
      </c>
      <c r="E13" s="168">
        <f xml:space="preserve"> D13*E10</f>
        <v>0</v>
      </c>
      <c r="F13" s="166">
        <v>1</v>
      </c>
      <c r="G13" s="168">
        <f xml:space="preserve"> F13*G10</f>
        <v>0</v>
      </c>
      <c r="H13" s="166">
        <v>1</v>
      </c>
      <c r="I13" s="168">
        <f xml:space="preserve"> H13*I10</f>
        <v>0</v>
      </c>
      <c r="J13" s="166">
        <v>1</v>
      </c>
      <c r="K13" s="168">
        <f xml:space="preserve"> J13*K10</f>
        <v>0</v>
      </c>
      <c r="L13" s="166">
        <v>1</v>
      </c>
      <c r="M13" s="168">
        <f xml:space="preserve"> L13*M10</f>
        <v>0</v>
      </c>
      <c r="N13" s="169">
        <f t="shared" ref="N13:N20" si="0" xml:space="preserve"> C13+E13+G13+I13+K13+M13</f>
        <v>0</v>
      </c>
    </row>
    <row r="14" spans="1:14" x14ac:dyDescent="0.25">
      <c r="A14" s="170" t="s">
        <v>183</v>
      </c>
      <c r="B14" s="171"/>
      <c r="C14" s="172">
        <f xml:space="preserve"> B14*C10</f>
        <v>0</v>
      </c>
      <c r="D14" s="171"/>
      <c r="E14" s="173">
        <f xml:space="preserve"> D14*E10</f>
        <v>0</v>
      </c>
      <c r="F14" s="171"/>
      <c r="G14" s="173">
        <f xml:space="preserve"> F14*G10</f>
        <v>0</v>
      </c>
      <c r="H14" s="171"/>
      <c r="I14" s="173">
        <f xml:space="preserve"> H14*I10</f>
        <v>0</v>
      </c>
      <c r="J14" s="171"/>
      <c r="K14" s="173">
        <f xml:space="preserve"> J14*K10</f>
        <v>0</v>
      </c>
      <c r="L14" s="171"/>
      <c r="M14" s="173">
        <f xml:space="preserve"> L14*M10</f>
        <v>0</v>
      </c>
      <c r="N14" s="169">
        <f t="shared" si="0"/>
        <v>0</v>
      </c>
    </row>
    <row r="15" spans="1:14" x14ac:dyDescent="0.25">
      <c r="A15" s="170" t="s">
        <v>184</v>
      </c>
      <c r="B15" s="171"/>
      <c r="C15" s="172">
        <f xml:space="preserve"> B15*C10</f>
        <v>0</v>
      </c>
      <c r="D15" s="171"/>
      <c r="E15" s="173">
        <f xml:space="preserve"> D15*E10</f>
        <v>0</v>
      </c>
      <c r="F15" s="171"/>
      <c r="G15" s="173">
        <f xml:space="preserve"> F15*G10</f>
        <v>0</v>
      </c>
      <c r="H15" s="171"/>
      <c r="I15" s="173">
        <f xml:space="preserve"> H15*I10</f>
        <v>0</v>
      </c>
      <c r="J15" s="171"/>
      <c r="K15" s="173">
        <f xml:space="preserve"> J15*K10</f>
        <v>0</v>
      </c>
      <c r="L15" s="171"/>
      <c r="M15" s="173">
        <f xml:space="preserve"> L15*M10</f>
        <v>0</v>
      </c>
      <c r="N15" s="169">
        <f t="shared" si="0"/>
        <v>0</v>
      </c>
    </row>
    <row r="16" spans="1:14" x14ac:dyDescent="0.25">
      <c r="A16" s="170" t="s">
        <v>185</v>
      </c>
      <c r="B16" s="171"/>
      <c r="C16" s="172">
        <f xml:space="preserve"> B16*C10</f>
        <v>0</v>
      </c>
      <c r="D16" s="171"/>
      <c r="E16" s="173">
        <f xml:space="preserve"> D16*E10</f>
        <v>0</v>
      </c>
      <c r="F16" s="171"/>
      <c r="G16" s="173">
        <f xml:space="preserve"> F16*G10</f>
        <v>0</v>
      </c>
      <c r="H16" s="171"/>
      <c r="I16" s="173">
        <f xml:space="preserve"> H16*I10</f>
        <v>0</v>
      </c>
      <c r="J16" s="171"/>
      <c r="K16" s="173">
        <f xml:space="preserve"> J16*K10</f>
        <v>0</v>
      </c>
      <c r="L16" s="171"/>
      <c r="M16" s="173">
        <f xml:space="preserve"> L16*M10</f>
        <v>0</v>
      </c>
      <c r="N16" s="169">
        <f t="shared" si="0"/>
        <v>0</v>
      </c>
    </row>
    <row r="17" spans="1:14" x14ac:dyDescent="0.25">
      <c r="A17" s="170" t="s">
        <v>186</v>
      </c>
      <c r="B17" s="171"/>
      <c r="C17" s="172">
        <f xml:space="preserve"> B17*C10</f>
        <v>0</v>
      </c>
      <c r="D17" s="171"/>
      <c r="E17" s="173">
        <f xml:space="preserve"> D17*E10</f>
        <v>0</v>
      </c>
      <c r="F17" s="171"/>
      <c r="G17" s="173">
        <f xml:space="preserve"> F17*G10</f>
        <v>0</v>
      </c>
      <c r="H17" s="171"/>
      <c r="I17" s="173">
        <f xml:space="preserve"> H17*I10</f>
        <v>0</v>
      </c>
      <c r="J17" s="171"/>
      <c r="K17" s="173">
        <f xml:space="preserve"> J17*K10</f>
        <v>0</v>
      </c>
      <c r="L17" s="171"/>
      <c r="M17" s="173">
        <f xml:space="preserve"> L17*M10</f>
        <v>0</v>
      </c>
      <c r="N17" s="169">
        <f t="shared" si="0"/>
        <v>0</v>
      </c>
    </row>
    <row r="18" spans="1:14" ht="15.75" thickBot="1" x14ac:dyDescent="0.3">
      <c r="A18" s="174" t="s">
        <v>187</v>
      </c>
      <c r="B18" s="175"/>
      <c r="C18" s="176">
        <f xml:space="preserve"> B18*C10</f>
        <v>0</v>
      </c>
      <c r="D18" s="175"/>
      <c r="E18" s="173">
        <f xml:space="preserve"> D18*E10</f>
        <v>0</v>
      </c>
      <c r="F18" s="175"/>
      <c r="G18" s="177">
        <f xml:space="preserve"> F18*G10</f>
        <v>0</v>
      </c>
      <c r="H18" s="175"/>
      <c r="I18" s="177">
        <f xml:space="preserve"> H18*I10</f>
        <v>0</v>
      </c>
      <c r="J18" s="175"/>
      <c r="K18" s="177">
        <f xml:space="preserve"> J18*K10</f>
        <v>0</v>
      </c>
      <c r="L18" s="175"/>
      <c r="M18" s="177">
        <f xml:space="preserve"> L18*M10</f>
        <v>0</v>
      </c>
      <c r="N18" s="169">
        <f t="shared" si="0"/>
        <v>0</v>
      </c>
    </row>
    <row r="19" spans="1:14" x14ac:dyDescent="0.25">
      <c r="A19" s="178" t="s">
        <v>188</v>
      </c>
      <c r="B19" s="179"/>
      <c r="C19" s="180">
        <f>SUM(C13:C18)</f>
        <v>0</v>
      </c>
      <c r="D19" s="181"/>
      <c r="E19" s="182">
        <f>SUM(E13:E18)</f>
        <v>0</v>
      </c>
      <c r="F19" s="181"/>
      <c r="G19" s="182">
        <f>SUM(G13:G18)</f>
        <v>0</v>
      </c>
      <c r="H19" s="181"/>
      <c r="I19" s="182">
        <f>SUM(I13:I18)</f>
        <v>0</v>
      </c>
      <c r="J19" s="179"/>
      <c r="K19" s="182">
        <f>SUM(K13:K18)</f>
        <v>0</v>
      </c>
      <c r="L19" s="179"/>
      <c r="M19" s="182">
        <f>SUM(M13:M18)</f>
        <v>0</v>
      </c>
      <c r="N19" s="183">
        <f t="shared" si="0"/>
        <v>0</v>
      </c>
    </row>
    <row r="20" spans="1:14" x14ac:dyDescent="0.25">
      <c r="A20" s="184" t="s">
        <v>189</v>
      </c>
      <c r="B20" s="185">
        <f>SUM(B13:B19)</f>
        <v>1</v>
      </c>
      <c r="C20" s="186">
        <f xml:space="preserve"> B20*C8</f>
        <v>0</v>
      </c>
      <c r="D20" s="185">
        <f>SUM(D13:D19)</f>
        <v>1</v>
      </c>
      <c r="E20" s="187">
        <f xml:space="preserve"> D20*E8</f>
        <v>0</v>
      </c>
      <c r="F20" s="185">
        <f>SUM(F13:F19)</f>
        <v>1</v>
      </c>
      <c r="G20" s="187">
        <f xml:space="preserve"> F20*G8</f>
        <v>0</v>
      </c>
      <c r="H20" s="185">
        <f>SUM(H13:H19)</f>
        <v>1</v>
      </c>
      <c r="I20" s="187">
        <f xml:space="preserve"> H20*I8</f>
        <v>0</v>
      </c>
      <c r="J20" s="185">
        <f>SUM(J13:J19)</f>
        <v>1</v>
      </c>
      <c r="K20" s="187">
        <f xml:space="preserve"> J20*K8</f>
        <v>0</v>
      </c>
      <c r="L20" s="185">
        <f>SUM(L13:L19)</f>
        <v>1</v>
      </c>
      <c r="M20" s="187">
        <f xml:space="preserve"> L20*M8</f>
        <v>0</v>
      </c>
      <c r="N20" s="188">
        <f t="shared" si="0"/>
        <v>0</v>
      </c>
    </row>
    <row r="21" spans="1:14" ht="15.75" thickBot="1" x14ac:dyDescent="0.3">
      <c r="A21" s="189" t="s">
        <v>190</v>
      </c>
      <c r="B21" s="190"/>
      <c r="C21" s="191">
        <f xml:space="preserve"> - B20*C9</f>
        <v>0</v>
      </c>
      <c r="D21" s="190"/>
      <c r="E21" s="192">
        <f xml:space="preserve"> -D20*E9</f>
        <v>0</v>
      </c>
      <c r="F21" s="190"/>
      <c r="G21" s="192">
        <f xml:space="preserve"> -F20*G9</f>
        <v>0</v>
      </c>
      <c r="H21" s="190"/>
      <c r="I21" s="192">
        <f xml:space="preserve"> -H20*I9</f>
        <v>0</v>
      </c>
      <c r="J21" s="190"/>
      <c r="K21" s="192">
        <f xml:space="preserve"> -J20*K9</f>
        <v>0</v>
      </c>
      <c r="L21" s="190"/>
      <c r="M21" s="192">
        <f xml:space="preserve"> -L20*M9</f>
        <v>0</v>
      </c>
      <c r="N21" s="193">
        <f>SUM(B21:M21)</f>
        <v>0</v>
      </c>
    </row>
    <row r="22" spans="1:14" ht="15.75" thickBot="1" x14ac:dyDescent="0.3">
      <c r="A22" s="120"/>
      <c r="B22" s="113"/>
      <c r="C22" s="113"/>
      <c r="D22" s="113"/>
      <c r="E22" s="113"/>
      <c r="F22" s="131"/>
      <c r="G22" s="113"/>
      <c r="H22" s="113"/>
      <c r="I22" s="113"/>
      <c r="J22" s="113"/>
      <c r="K22" s="113"/>
      <c r="L22" s="194"/>
      <c r="M22" s="195" t="s">
        <v>191</v>
      </c>
      <c r="N22" s="196" t="s">
        <v>192</v>
      </c>
    </row>
    <row r="23" spans="1:14" x14ac:dyDescent="0.25">
      <c r="A23" s="113"/>
      <c r="B23" s="113"/>
      <c r="C23" s="113"/>
      <c r="D23" s="113"/>
      <c r="E23" s="113"/>
      <c r="F23" s="131"/>
      <c r="G23" s="113"/>
      <c r="H23" s="113"/>
      <c r="I23" s="113"/>
      <c r="J23" s="113"/>
      <c r="K23" s="113"/>
      <c r="L23" s="197" t="s">
        <v>193</v>
      </c>
      <c r="M23" s="198">
        <f xml:space="preserve"> N20</f>
        <v>0</v>
      </c>
      <c r="N23" s="199">
        <f xml:space="preserve"> M23*12</f>
        <v>0</v>
      </c>
    </row>
    <row r="24" spans="1:14" x14ac:dyDescent="0.25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200" t="s">
        <v>190</v>
      </c>
      <c r="M24" s="201">
        <f xml:space="preserve"> N21</f>
        <v>0</v>
      </c>
      <c r="N24" s="202">
        <f xml:space="preserve"> M24*12</f>
        <v>0</v>
      </c>
    </row>
    <row r="25" spans="1:14" ht="15.75" thickBot="1" x14ac:dyDescent="0.3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200" t="s">
        <v>188</v>
      </c>
      <c r="M25" s="203">
        <f xml:space="preserve"> N19</f>
        <v>0</v>
      </c>
      <c r="N25" s="202">
        <f xml:space="preserve"> M25*12</f>
        <v>0</v>
      </c>
    </row>
    <row r="26" spans="1:14" ht="30.75" thickBot="1" x14ac:dyDescent="0.3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204" t="s">
        <v>194</v>
      </c>
      <c r="M26" s="205">
        <f>+KANNATTAVUUSLASKELMA!D44</f>
        <v>0</v>
      </c>
      <c r="N26" s="206">
        <f xml:space="preserve"> M26*12</f>
        <v>0</v>
      </c>
    </row>
    <row r="27" spans="1:14" ht="30" x14ac:dyDescent="0.25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207" t="s">
        <v>195</v>
      </c>
      <c r="M27" s="198">
        <f xml:space="preserve"> M25-M26</f>
        <v>0</v>
      </c>
      <c r="N27" s="202"/>
    </row>
    <row r="28" spans="1:14" ht="15.75" thickBot="1" x14ac:dyDescent="0.3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208" t="s">
        <v>196</v>
      </c>
      <c r="M28" s="209" t="e">
        <f xml:space="preserve"> M26/M25*100</f>
        <v>#DIV/0!</v>
      </c>
      <c r="N28" s="210"/>
    </row>
    <row r="29" spans="1:14" x14ac:dyDescent="0.2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14" x14ac:dyDescent="0.2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211"/>
      <c r="L30" s="212" t="s">
        <v>197</v>
      </c>
      <c r="M30" s="212"/>
      <c r="N30" s="212"/>
    </row>
    <row r="31" spans="1:14" x14ac:dyDescent="0.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213"/>
      <c r="L31" s="212" t="s">
        <v>198</v>
      </c>
      <c r="M31" s="212"/>
      <c r="N31" s="212"/>
    </row>
    <row r="32" spans="1:14" x14ac:dyDescent="0.2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</sheetData>
  <mergeCells count="1">
    <mergeCell ref="B3:G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10" workbookViewId="0">
      <selection activeCell="C6" sqref="C6"/>
    </sheetView>
  </sheetViews>
  <sheetFormatPr defaultRowHeight="15" x14ac:dyDescent="0.25"/>
  <cols>
    <col min="1" max="1" width="27.140625" bestFit="1" customWidth="1"/>
  </cols>
  <sheetData>
    <row r="1" spans="1:18" ht="21.75" thickBot="1" x14ac:dyDescent="0.35">
      <c r="A1" s="214" t="s">
        <v>199</v>
      </c>
      <c r="B1" s="215"/>
      <c r="C1" s="215"/>
      <c r="D1" s="216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5.75" thickTop="1" x14ac:dyDescent="0.25">
      <c r="A2" s="218" t="s">
        <v>200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  <c r="Q2" s="219"/>
      <c r="R2" s="219"/>
    </row>
    <row r="3" spans="1:18" ht="38.25" x14ac:dyDescent="0.25">
      <c r="A3" s="221" t="s">
        <v>201</v>
      </c>
      <c r="B3" s="222"/>
      <c r="C3" s="223" t="s">
        <v>202</v>
      </c>
      <c r="D3" s="224" t="str">
        <f>UPPER(TEXT(FiscalYearStartDate,"kkk"))</f>
        <v>TAMMI</v>
      </c>
      <c r="E3" s="224" t="str">
        <f>UPPER(TEXT(EOMONTH(FiscalYearStartDate,1),"kkk"))</f>
        <v>HELMI</v>
      </c>
      <c r="F3" s="224" t="str">
        <f>UPPER(TEXT(EOMONTH(FiscalYearStartDate,2),"kkk"))</f>
        <v>MAALIS</v>
      </c>
      <c r="G3" s="224" t="str">
        <f>UPPER(TEXT(EOMONTH(FiscalYearStartDate,3),"kkk"))</f>
        <v>HUHTI</v>
      </c>
      <c r="H3" s="224" t="str">
        <f>UPPER(TEXT(EOMONTH(FiscalYearStartDate,4),"kkk"))</f>
        <v>TOUKO</v>
      </c>
      <c r="I3" s="224" t="str">
        <f>UPPER(TEXT(EOMONTH(FiscalYearStartDate,5),"kkk"))</f>
        <v>KESÄ</v>
      </c>
      <c r="J3" s="224" t="str">
        <f>UPPER(TEXT(EOMONTH(FiscalYearStartDate,6),"kkk"))</f>
        <v>HEINÄ</v>
      </c>
      <c r="K3" s="224" t="str">
        <f>UPPER(TEXT(EOMONTH(FiscalYearStartDate,7),"kkk"))</f>
        <v>ELO</v>
      </c>
      <c r="L3" s="224" t="str">
        <f>UPPER(TEXT(EOMONTH(FiscalYearStartDate,8),"kkk"))</f>
        <v>SYYS</v>
      </c>
      <c r="M3" s="224" t="str">
        <f>UPPER(TEXT(EOMONTH(FiscalYearStartDate,9),"kkk"))</f>
        <v>LOKA</v>
      </c>
      <c r="N3" s="224" t="str">
        <f>UPPER(TEXT(EOMONTH(FiscalYearStartDate,10),"kkk"))</f>
        <v>MARRAS</v>
      </c>
      <c r="O3" s="224" t="str">
        <f>UPPER(TEXT(EOMONTH(FiscalYearStartDate,11),"kkk"))</f>
        <v>JOULU</v>
      </c>
      <c r="P3" s="225"/>
      <c r="Q3" s="223" t="s">
        <v>182</v>
      </c>
      <c r="R3" s="219"/>
    </row>
    <row r="4" spans="1:18" ht="27" thickBot="1" x14ac:dyDescent="0.3">
      <c r="A4" s="226">
        <v>45292</v>
      </c>
      <c r="B4" s="218"/>
      <c r="C4" s="227" t="s">
        <v>204</v>
      </c>
      <c r="D4" s="228">
        <v>1</v>
      </c>
      <c r="E4" s="228">
        <v>2</v>
      </c>
      <c r="F4" s="228">
        <v>3</v>
      </c>
      <c r="G4" s="228">
        <v>4</v>
      </c>
      <c r="H4" s="228">
        <v>5</v>
      </c>
      <c r="I4" s="228">
        <v>6</v>
      </c>
      <c r="J4" s="228">
        <v>7</v>
      </c>
      <c r="K4" s="228">
        <v>8</v>
      </c>
      <c r="L4" s="228">
        <v>9</v>
      </c>
      <c r="M4" s="228">
        <v>10</v>
      </c>
      <c r="N4" s="228">
        <v>11</v>
      </c>
      <c r="O4" s="228">
        <v>12</v>
      </c>
      <c r="P4" s="229"/>
      <c r="Q4" s="230" t="s">
        <v>205</v>
      </c>
      <c r="R4" s="219"/>
    </row>
    <row r="5" spans="1:18" ht="15.75" thickTop="1" x14ac:dyDescent="0.25">
      <c r="A5" s="231"/>
      <c r="B5" s="219"/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  <c r="Q5" s="232"/>
      <c r="R5" s="219"/>
    </row>
    <row r="6" spans="1:18" ht="26.25" thickBot="1" x14ac:dyDescent="0.3">
      <c r="A6" s="235" t="s">
        <v>206</v>
      </c>
      <c r="B6" s="219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7"/>
      <c r="Q6" s="236">
        <f>O6</f>
        <v>0</v>
      </c>
      <c r="R6" s="238"/>
    </row>
    <row r="7" spans="1:18" x14ac:dyDescent="0.25">
      <c r="A7" s="219"/>
      <c r="B7" s="21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40"/>
      <c r="Q7" s="239"/>
      <c r="R7" s="219"/>
    </row>
    <row r="8" spans="1:18" ht="15.75" thickBot="1" x14ac:dyDescent="0.3">
      <c r="A8" s="241" t="s">
        <v>207</v>
      </c>
      <c r="B8" s="219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0"/>
      <c r="Q8" s="242"/>
      <c r="R8" s="243"/>
    </row>
    <row r="9" spans="1:18" ht="15.75" thickTop="1" x14ac:dyDescent="0.25">
      <c r="A9" s="244" t="s">
        <v>208</v>
      </c>
      <c r="B9" s="240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6"/>
      <c r="Q9" s="239">
        <f>SUM(CashReceipts[[#This Row],[Period 0]:[Period 12]])</f>
        <v>0</v>
      </c>
      <c r="R9" s="219"/>
    </row>
    <row r="10" spans="1:18" x14ac:dyDescent="0.25">
      <c r="A10" s="244" t="s">
        <v>209</v>
      </c>
      <c r="B10" s="240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6"/>
      <c r="Q10" s="239">
        <f>SUM(CashReceipts[[#This Row],[Period 0]:[Period 12]])</f>
        <v>0</v>
      </c>
      <c r="R10" s="219"/>
    </row>
    <row r="11" spans="1:18" x14ac:dyDescent="0.25">
      <c r="A11" s="244" t="s">
        <v>210</v>
      </c>
      <c r="B11" s="247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  <c r="Q11" s="239">
        <f>SUM(CashReceipts[[#This Row],[Period 0]:[Period 12]])</f>
        <v>0</v>
      </c>
      <c r="R11" s="219"/>
    </row>
    <row r="12" spans="1:18" ht="15.75" thickBot="1" x14ac:dyDescent="0.3">
      <c r="A12" s="285" t="s">
        <v>182</v>
      </c>
      <c r="B12" s="286"/>
      <c r="C12" s="282">
        <f>SUBTOTAL(109,CashReceipts[Period 0])</f>
        <v>0</v>
      </c>
      <c r="D12" s="282">
        <f>SUBTOTAL(109,CashReceipts[Period 1])</f>
        <v>0</v>
      </c>
      <c r="E12" s="282">
        <f>SUBTOTAL(109,CashReceipts[Period 2])</f>
        <v>0</v>
      </c>
      <c r="F12" s="282">
        <f>SUBTOTAL(109,CashReceipts[Period 3])</f>
        <v>0</v>
      </c>
      <c r="G12" s="282">
        <f>SUBTOTAL(109,CashReceipts[Period 4])</f>
        <v>0</v>
      </c>
      <c r="H12" s="282">
        <f>SUBTOTAL(109,CashReceipts[Period 5])</f>
        <v>0</v>
      </c>
      <c r="I12" s="282">
        <f>SUBTOTAL(109,CashReceipts[Period 6])</f>
        <v>0</v>
      </c>
      <c r="J12" s="282">
        <f>SUBTOTAL(109,CashReceipts[Period 7])</f>
        <v>0</v>
      </c>
      <c r="K12" s="282">
        <f>SUBTOTAL(109,CashReceipts[Period 8])</f>
        <v>0</v>
      </c>
      <c r="L12" s="282">
        <f>SUBTOTAL(109,CashReceipts[Period 9])</f>
        <v>0</v>
      </c>
      <c r="M12" s="282">
        <f>SUBTOTAL(109,CashReceipts[Period 10])</f>
        <v>0</v>
      </c>
      <c r="N12" s="282">
        <f>SUBTOTAL(109,CashReceipts[Period 11])</f>
        <v>0</v>
      </c>
      <c r="O12" s="282">
        <f>SUBTOTAL(109,CashReceipts[Period 12])</f>
        <v>0</v>
      </c>
      <c r="P12" s="287"/>
      <c r="Q12" s="282">
        <f>SUBTOTAL(109,CashReceipts[Total])</f>
        <v>0</v>
      </c>
      <c r="R12" s="284"/>
    </row>
    <row r="13" spans="1:18" ht="16.5" thickTop="1" thickBot="1" x14ac:dyDescent="0.3">
      <c r="A13" s="249" t="s">
        <v>211</v>
      </c>
      <c r="B13" s="250"/>
      <c r="C13" s="251">
        <f>C6+SUM(CashReceipts[Period 0])</f>
        <v>0</v>
      </c>
      <c r="D13" s="251">
        <f>D6+SUM(CashReceipts[Period 1])</f>
        <v>0</v>
      </c>
      <c r="E13" s="251">
        <f>E6+SUM(CashReceipts[Period 2])</f>
        <v>0</v>
      </c>
      <c r="F13" s="251">
        <f>F6+SUM(CashReceipts[Period 3])</f>
        <v>0</v>
      </c>
      <c r="G13" s="251">
        <f>G6+SUM(CashReceipts[Period 4])</f>
        <v>0</v>
      </c>
      <c r="H13" s="251">
        <f>H6+SUM(CashReceipts[Period 5])</f>
        <v>0</v>
      </c>
      <c r="I13" s="251">
        <f>I6+SUM(CashReceipts[Period 6])</f>
        <v>0</v>
      </c>
      <c r="J13" s="251">
        <f>J6+SUM(CashReceipts[Period 7])</f>
        <v>0</v>
      </c>
      <c r="K13" s="251">
        <f>K6+SUM(CashReceipts[Period 8])</f>
        <v>0</v>
      </c>
      <c r="L13" s="251">
        <f>L6+SUM(CashReceipts[Period 9])</f>
        <v>0</v>
      </c>
      <c r="M13" s="251">
        <f>M6+SUM(CashReceipts[Period 10])</f>
        <v>0</v>
      </c>
      <c r="N13" s="251">
        <f>N6+SUM(CashReceipts[Period 11])</f>
        <v>0</v>
      </c>
      <c r="O13" s="251">
        <f>O6+SUM(CashReceipts[Period 12])</f>
        <v>0</v>
      </c>
      <c r="P13" s="252"/>
      <c r="Q13" s="251">
        <f>Q6+SUM(CashReceipts[Total])</f>
        <v>0</v>
      </c>
      <c r="R13" s="253"/>
    </row>
    <row r="14" spans="1:18" x14ac:dyDescent="0.25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</row>
    <row r="15" spans="1:18" ht="15.75" thickBot="1" x14ac:dyDescent="0.3">
      <c r="A15" s="254" t="s">
        <v>212</v>
      </c>
      <c r="B15" s="240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0"/>
      <c r="Q15" s="243"/>
      <c r="R15" s="243"/>
    </row>
    <row r="16" spans="1:18" ht="15.75" thickTop="1" x14ac:dyDescent="0.25">
      <c r="A16" s="255" t="s">
        <v>213</v>
      </c>
      <c r="B16" s="240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57"/>
      <c r="Q16" s="239">
        <f>SUM(CashPaidOut[[#This Row],[Period 0]:[Period 12]])</f>
        <v>0</v>
      </c>
      <c r="R16" s="239"/>
    </row>
    <row r="17" spans="1:18" x14ac:dyDescent="0.25">
      <c r="A17" s="255" t="s">
        <v>214</v>
      </c>
      <c r="B17" s="240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57"/>
      <c r="Q17" s="239">
        <f>SUM(CashPaidOut[[#This Row],[Period 0]:[Period 12]])</f>
        <v>0</v>
      </c>
      <c r="R17" s="239"/>
    </row>
    <row r="18" spans="1:18" x14ac:dyDescent="0.25">
      <c r="A18" s="255" t="s">
        <v>215</v>
      </c>
      <c r="B18" s="240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57"/>
      <c r="Q18" s="239">
        <f>SUM(CashPaidOut[[#This Row],[Period 0]:[Period 12]])</f>
        <v>0</v>
      </c>
      <c r="R18" s="239"/>
    </row>
    <row r="19" spans="1:18" x14ac:dyDescent="0.25">
      <c r="A19" s="255" t="s">
        <v>216</v>
      </c>
      <c r="B19" s="240"/>
      <c r="C19" s="245"/>
      <c r="D19" s="245"/>
      <c r="E19" s="245"/>
      <c r="F19" s="256"/>
      <c r="G19" s="245"/>
      <c r="H19" s="245"/>
      <c r="I19" s="245"/>
      <c r="J19" s="245"/>
      <c r="K19" s="245"/>
      <c r="L19" s="245"/>
      <c r="M19" s="245"/>
      <c r="N19" s="245"/>
      <c r="O19" s="245"/>
      <c r="P19" s="257"/>
      <c r="Q19" s="239">
        <f>SUM(CashPaidOut[[#This Row],[Period 0]:[Period 12]])</f>
        <v>0</v>
      </c>
      <c r="R19" s="239"/>
    </row>
    <row r="20" spans="1:18" x14ac:dyDescent="0.25">
      <c r="A20" s="255" t="s">
        <v>217</v>
      </c>
      <c r="B20" s="240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57"/>
      <c r="Q20" s="239">
        <f>SUM(CashPaidOut[[#This Row],[Period 0]:[Period 12]])</f>
        <v>0</v>
      </c>
      <c r="R20" s="239"/>
    </row>
    <row r="21" spans="1:18" x14ac:dyDescent="0.25">
      <c r="A21" s="255" t="s">
        <v>150</v>
      </c>
      <c r="B21" s="240"/>
      <c r="C21" s="245"/>
      <c r="D21" s="245"/>
      <c r="E21" s="245"/>
      <c r="F21" s="256"/>
      <c r="G21" s="245"/>
      <c r="H21" s="245"/>
      <c r="I21" s="245"/>
      <c r="J21" s="245"/>
      <c r="K21" s="245"/>
      <c r="L21" s="245"/>
      <c r="M21" s="245"/>
      <c r="N21" s="245"/>
      <c r="O21" s="245"/>
      <c r="P21" s="257"/>
      <c r="Q21" s="239">
        <f>SUM(CashPaidOut[[#This Row],[Period 0]:[Period 12]])</f>
        <v>0</v>
      </c>
      <c r="R21" s="239"/>
    </row>
    <row r="22" spans="1:18" x14ac:dyDescent="0.25">
      <c r="A22" s="255" t="s">
        <v>218</v>
      </c>
      <c r="B22" s="240"/>
      <c r="C22" s="245"/>
      <c r="D22" s="245"/>
      <c r="E22" s="245"/>
      <c r="F22" s="256"/>
      <c r="G22" s="245"/>
      <c r="H22" s="245"/>
      <c r="I22" s="245"/>
      <c r="J22" s="245"/>
      <c r="K22" s="245"/>
      <c r="L22" s="245"/>
      <c r="M22" s="245"/>
      <c r="N22" s="245"/>
      <c r="O22" s="245"/>
      <c r="P22" s="257"/>
      <c r="Q22" s="239">
        <f>SUM(CashPaidOut[[#This Row],[Period 0]:[Period 12]])</f>
        <v>0</v>
      </c>
      <c r="R22" s="239"/>
    </row>
    <row r="23" spans="1:18" x14ac:dyDescent="0.25">
      <c r="A23" s="255" t="s">
        <v>219</v>
      </c>
      <c r="B23" s="240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57"/>
      <c r="Q23" s="239">
        <f>SUM(CashPaidOut[[#This Row],[Period 0]:[Period 12]])</f>
        <v>0</v>
      </c>
      <c r="R23" s="239"/>
    </row>
    <row r="24" spans="1:18" x14ac:dyDescent="0.25">
      <c r="A24" s="255" t="s">
        <v>220</v>
      </c>
      <c r="B24" s="240"/>
      <c r="C24" s="245"/>
      <c r="D24" s="245"/>
      <c r="E24" s="245"/>
      <c r="F24" s="256"/>
      <c r="G24" s="245"/>
      <c r="H24" s="245"/>
      <c r="I24" s="245"/>
      <c r="J24" s="245"/>
      <c r="K24" s="245"/>
      <c r="L24" s="245"/>
      <c r="M24" s="245"/>
      <c r="N24" s="245"/>
      <c r="O24" s="245"/>
      <c r="P24" s="257"/>
      <c r="Q24" s="239">
        <f>SUM(CashPaidOut[[#This Row],[Period 0]:[Period 12]])</f>
        <v>0</v>
      </c>
      <c r="R24" s="239"/>
    </row>
    <row r="25" spans="1:18" x14ac:dyDescent="0.25">
      <c r="A25" s="255" t="s">
        <v>221</v>
      </c>
      <c r="B25" s="240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57"/>
      <c r="Q25" s="239">
        <f>SUM(CashPaidOut[[#This Row],[Period 0]:[Period 12]])</f>
        <v>0</v>
      </c>
      <c r="R25" s="239"/>
    </row>
    <row r="26" spans="1:18" x14ac:dyDescent="0.25">
      <c r="A26" s="255" t="s">
        <v>222</v>
      </c>
      <c r="B26" s="240"/>
      <c r="C26" s="245"/>
      <c r="D26" s="245"/>
      <c r="E26" s="245"/>
      <c r="F26" s="256"/>
      <c r="G26" s="245"/>
      <c r="H26" s="245"/>
      <c r="I26" s="245"/>
      <c r="J26" s="245"/>
      <c r="K26" s="245"/>
      <c r="L26" s="245"/>
      <c r="M26" s="245"/>
      <c r="N26" s="245"/>
      <c r="O26" s="245"/>
      <c r="P26" s="257"/>
      <c r="Q26" s="239">
        <f>SUM(CashPaidOut[[#This Row],[Period 0]:[Period 12]])</f>
        <v>0</v>
      </c>
      <c r="R26" s="239"/>
    </row>
    <row r="27" spans="1:18" x14ac:dyDescent="0.25">
      <c r="A27" s="255" t="s">
        <v>223</v>
      </c>
      <c r="B27" s="240"/>
      <c r="C27" s="245"/>
      <c r="D27" s="245"/>
      <c r="E27" s="245"/>
      <c r="F27" s="256"/>
      <c r="G27" s="245"/>
      <c r="H27" s="245"/>
      <c r="I27" s="245"/>
      <c r="J27" s="245"/>
      <c r="K27" s="245"/>
      <c r="L27" s="245"/>
      <c r="M27" s="245"/>
      <c r="N27" s="245"/>
      <c r="O27" s="245"/>
      <c r="P27" s="257"/>
      <c r="Q27" s="239">
        <f>SUM(CashPaidOut[[#This Row],[Period 0]:[Period 12]])</f>
        <v>0</v>
      </c>
      <c r="R27" s="239"/>
    </row>
    <row r="28" spans="1:18" x14ac:dyDescent="0.25">
      <c r="A28" s="255" t="s">
        <v>224</v>
      </c>
      <c r="B28" s="240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57"/>
      <c r="Q28" s="239">
        <f>SUM(CashPaidOut[[#This Row],[Period 0]:[Period 12]])</f>
        <v>0</v>
      </c>
      <c r="R28" s="239"/>
    </row>
    <row r="29" spans="1:18" x14ac:dyDescent="0.25">
      <c r="A29" s="255" t="s">
        <v>225</v>
      </c>
      <c r="B29" s="240"/>
      <c r="C29" s="245"/>
      <c r="D29" s="245"/>
      <c r="E29" s="245"/>
      <c r="F29" s="256"/>
      <c r="G29" s="245"/>
      <c r="H29" s="245"/>
      <c r="I29" s="245"/>
      <c r="J29" s="245"/>
      <c r="K29" s="245"/>
      <c r="L29" s="245"/>
      <c r="M29" s="245"/>
      <c r="N29" s="245"/>
      <c r="O29" s="245"/>
      <c r="P29" s="257"/>
      <c r="Q29" s="239">
        <f>SUM(CashPaidOut[[#This Row],[Period 0]:[Period 12]])</f>
        <v>0</v>
      </c>
      <c r="R29" s="239"/>
    </row>
    <row r="30" spans="1:18" x14ac:dyDescent="0.25">
      <c r="A30" s="255" t="s">
        <v>226</v>
      </c>
      <c r="B30" s="240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57"/>
      <c r="Q30" s="239">
        <f>SUM(CashPaidOut[[#This Row],[Period 0]:[Period 12]])</f>
        <v>0</v>
      </c>
      <c r="R30" s="239"/>
    </row>
    <row r="31" spans="1:18" x14ac:dyDescent="0.25">
      <c r="A31" s="255" t="s">
        <v>227</v>
      </c>
      <c r="B31" s="240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58"/>
      <c r="Q31" s="239">
        <f>SUM(CashPaidOut[[#This Row],[Period 0]:[Period 12]])</f>
        <v>0</v>
      </c>
      <c r="R31" s="239"/>
    </row>
    <row r="32" spans="1:18" x14ac:dyDescent="0.25">
      <c r="A32" s="255" t="s">
        <v>228</v>
      </c>
      <c r="B32" s="240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58"/>
      <c r="Q32" s="239">
        <f>SUM(CashPaidOut[[#This Row],[Period 0]:[Period 12]])</f>
        <v>0</v>
      </c>
      <c r="R32" s="239"/>
    </row>
    <row r="33" spans="1:18" x14ac:dyDescent="0.25">
      <c r="A33" s="255" t="s">
        <v>229</v>
      </c>
      <c r="B33" s="240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57"/>
      <c r="Q33" s="239">
        <f>SUM(CashPaidOut[[#This Row],[Period 0]:[Period 12]])</f>
        <v>0</v>
      </c>
      <c r="R33" s="239"/>
    </row>
    <row r="34" spans="1:18" x14ac:dyDescent="0.25">
      <c r="A34" s="255" t="s">
        <v>230</v>
      </c>
      <c r="B34" s="240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58"/>
      <c r="Q34" s="239">
        <f>SUM(CashPaidOut[[#This Row],[Period 0]:[Period 12]])</f>
        <v>0</v>
      </c>
      <c r="R34" s="239"/>
    </row>
    <row r="35" spans="1:18" x14ac:dyDescent="0.25">
      <c r="A35" s="255" t="s">
        <v>231</v>
      </c>
      <c r="B35" s="240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58"/>
      <c r="Q35" s="239">
        <f>SUM(CashPaidOut[[#This Row],[Period 0]:[Period 12]])</f>
        <v>0</v>
      </c>
      <c r="R35" s="239"/>
    </row>
    <row r="36" spans="1:18" x14ac:dyDescent="0.25">
      <c r="A36" s="255" t="s">
        <v>232</v>
      </c>
      <c r="B36" s="240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58"/>
      <c r="Q36" s="239">
        <f>SUM(CashPaidOut[[#This Row],[Period 0]:[Period 12]])</f>
        <v>0</v>
      </c>
      <c r="R36" s="239"/>
    </row>
    <row r="37" spans="1:18" x14ac:dyDescent="0.25">
      <c r="A37" s="255" t="s">
        <v>233</v>
      </c>
      <c r="B37" s="240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58"/>
      <c r="Q37" s="239">
        <f>SUM(CashPaidOut[[#This Row],[Period 0]:[Period 12]])</f>
        <v>0</v>
      </c>
      <c r="R37" s="239"/>
    </row>
    <row r="38" spans="1:18" x14ac:dyDescent="0.25">
      <c r="A38" s="255" t="s">
        <v>234</v>
      </c>
      <c r="B38" s="240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57"/>
      <c r="Q38" s="239">
        <f>SUM(CashPaidOut[[#This Row],[Period 0]:[Period 12]])</f>
        <v>0</v>
      </c>
      <c r="R38" s="239"/>
    </row>
    <row r="39" spans="1:18" x14ac:dyDescent="0.25">
      <c r="A39" s="255" t="s">
        <v>235</v>
      </c>
      <c r="B39" s="240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58"/>
      <c r="Q39" s="239">
        <f>SUM(CashPaidOut[[#This Row],[Period 0]:[Period 12]])</f>
        <v>0</v>
      </c>
      <c r="R39" s="239"/>
    </row>
    <row r="40" spans="1:18" x14ac:dyDescent="0.25">
      <c r="A40" s="280" t="s">
        <v>236</v>
      </c>
      <c r="B40" s="281"/>
      <c r="C40" s="282">
        <f>SUBTOTAL(109,CashPaidOut[Period 0])</f>
        <v>0</v>
      </c>
      <c r="D40" s="282">
        <f>SUBTOTAL(109,CashPaidOut[Period 1])</f>
        <v>0</v>
      </c>
      <c r="E40" s="282">
        <f>SUBTOTAL(109,CashPaidOut[Period 2])</f>
        <v>0</v>
      </c>
      <c r="F40" s="282">
        <f>SUBTOTAL(109,CashPaidOut[Period 3])</f>
        <v>0</v>
      </c>
      <c r="G40" s="282">
        <f>SUBTOTAL(109,CashPaidOut[Period 4])</f>
        <v>0</v>
      </c>
      <c r="H40" s="282">
        <f>SUBTOTAL(109,CashPaidOut[Period 5])</f>
        <v>0</v>
      </c>
      <c r="I40" s="282">
        <f>SUBTOTAL(109,CashPaidOut[Period 6])</f>
        <v>0</v>
      </c>
      <c r="J40" s="282">
        <f>SUBTOTAL(109,CashPaidOut[Period 7])</f>
        <v>0</v>
      </c>
      <c r="K40" s="282">
        <f>SUBTOTAL(109,CashPaidOut[Period 8])</f>
        <v>0</v>
      </c>
      <c r="L40" s="282">
        <f>SUBTOTAL(109,CashPaidOut[Period 9])</f>
        <v>0</v>
      </c>
      <c r="M40" s="282">
        <f>SUBTOTAL(109,CashPaidOut[Period 10])</f>
        <v>0</v>
      </c>
      <c r="N40" s="282">
        <f>SUBTOTAL(109,CashPaidOut[Period 11])</f>
        <v>0</v>
      </c>
      <c r="O40" s="282">
        <f>SUBTOTAL(109,CashPaidOut[Period 12])</f>
        <v>0</v>
      </c>
      <c r="P40" s="283"/>
      <c r="Q40" s="282">
        <f>SUBTOTAL(109,CashPaidOut[Total])</f>
        <v>0</v>
      </c>
      <c r="R40" s="284"/>
    </row>
    <row r="41" spans="1:18" x14ac:dyDescent="0.25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</row>
    <row r="42" spans="1:18" x14ac:dyDescent="0.25">
      <c r="A42" s="301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</row>
    <row r="43" spans="1:18" ht="15.75" thickBot="1" x14ac:dyDescent="0.3">
      <c r="A43" s="249" t="s">
        <v>237</v>
      </c>
      <c r="B43" s="250"/>
      <c r="C43" s="260">
        <f t="shared" ref="C43:O43" si="0">C13-C40</f>
        <v>0</v>
      </c>
      <c r="D43" s="260">
        <f t="shared" si="0"/>
        <v>0</v>
      </c>
      <c r="E43" s="260">
        <f t="shared" si="0"/>
        <v>0</v>
      </c>
      <c r="F43" s="260">
        <f t="shared" si="0"/>
        <v>0</v>
      </c>
      <c r="G43" s="260">
        <f t="shared" si="0"/>
        <v>0</v>
      </c>
      <c r="H43" s="260">
        <f t="shared" si="0"/>
        <v>0</v>
      </c>
      <c r="I43" s="260">
        <f t="shared" si="0"/>
        <v>0</v>
      </c>
      <c r="J43" s="260">
        <f t="shared" si="0"/>
        <v>0</v>
      </c>
      <c r="K43" s="260">
        <f t="shared" si="0"/>
        <v>0</v>
      </c>
      <c r="L43" s="260">
        <f t="shared" si="0"/>
        <v>0</v>
      </c>
      <c r="M43" s="260">
        <f t="shared" si="0"/>
        <v>0</v>
      </c>
      <c r="N43" s="260">
        <f t="shared" si="0"/>
        <v>0</v>
      </c>
      <c r="O43" s="260">
        <f t="shared" si="0"/>
        <v>0</v>
      </c>
      <c r="P43" s="250"/>
      <c r="Q43" s="260">
        <f>Q13-Q40</f>
        <v>0</v>
      </c>
      <c r="R43" s="261"/>
    </row>
    <row r="44" spans="1:18" x14ac:dyDescent="0.2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</row>
    <row r="45" spans="1:18" x14ac:dyDescent="0.25">
      <c r="A45" s="262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</row>
  </sheetData>
  <mergeCells count="3">
    <mergeCell ref="A14:R14"/>
    <mergeCell ref="A41:R41"/>
    <mergeCell ref="A42:R42"/>
  </mergeCells>
  <conditionalFormatting sqref="D13:O13">
    <cfRule type="expression" dxfId="254" priority="1">
      <formula>D13&lt;0</formula>
    </cfRule>
  </conditionalFormatting>
  <conditionalFormatting sqref="D6:O6">
    <cfRule type="expression" dxfId="253" priority="3">
      <formula>D6&lt;0</formula>
    </cfRule>
  </conditionalFormatting>
  <conditionalFormatting sqref="D43:O43">
    <cfRule type="expression" dxfId="252" priority="2">
      <formula>D43&lt;0</formula>
    </cfRule>
  </conditionalFormatting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8D00C79-AAFD-4D0A-B8DD-8EECFA95EB73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D6:Q6</xm:sqref>
        </x14:conditionalFormatting>
        <x14:conditionalFormatting xmlns:xm="http://schemas.microsoft.com/office/excel/2006/main">
          <x14:cfRule type="iconSet" priority="5" id="{588923F5-43A1-4F6B-96F0-5DEBA166EEAD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C13:Q13</xm:sqref>
        </x14:conditionalFormatting>
        <x14:conditionalFormatting xmlns:xm="http://schemas.microsoft.com/office/excel/2006/main">
          <x14:cfRule type="iconSet" priority="6" id="{564BBF92-3B9A-407C-A82E-BF09C9FE0273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Q43 C43:O43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>
          <x14:colorSeries theme="0" tint="-0.34998626667073579"/>
          <x14:colorNegative theme="9"/>
          <x14:colorAxis rgb="FF000000"/>
          <x14:colorMarkers theme="9"/>
          <x14:colorFirst theme="4"/>
          <x14:colorLast theme="5"/>
          <x14:colorHigh theme="6"/>
          <x14:colorLow theme="7"/>
          <x14:sparklines>
            <x14:sparkline>
              <xm:f>'KASSAVIRTALASKELMA 1V.'!C43:O43</xm:f>
              <xm:sqref>R43</xm:sqref>
            </x14:sparkline>
            <x14:sparkline>
              <xm:f>'KASSAVIRTALASKELMA 1V.'!C13:O13</xm:f>
              <xm:sqref>R13</xm:sqref>
            </x14:sparkline>
            <x14:sparkline>
              <xm:f>'KASSAVIRTALASKELMA 1V.'!C40:O40</xm:f>
              <xm:sqref>R40</xm:sqref>
            </x14:sparkline>
            <x14:sparkline>
              <xm:f>'KASSAVIRTALASKELMA 1V.'!C6:O6</xm:f>
              <xm:sqref>R6</xm:sqref>
            </x14:sparkline>
            <x14:sparkline>
              <xm:f>'KASSAVIRTALASKELMA 1V.'!C12:O12</xm:f>
              <xm:sqref>R12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5" workbookViewId="0">
      <selection activeCell="C10" sqref="C10"/>
    </sheetView>
  </sheetViews>
  <sheetFormatPr defaultRowHeight="15" x14ac:dyDescent="0.25"/>
  <cols>
    <col min="1" max="1" width="27.140625" bestFit="1" customWidth="1"/>
  </cols>
  <sheetData>
    <row r="1" spans="1:18" ht="21.75" thickBot="1" x14ac:dyDescent="0.35">
      <c r="A1" s="214" t="s">
        <v>199</v>
      </c>
      <c r="B1" s="215"/>
      <c r="C1" s="215"/>
      <c r="D1" s="216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5.75" thickTop="1" x14ac:dyDescent="0.25">
      <c r="A2" s="218" t="s">
        <v>238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  <c r="Q2" s="219"/>
      <c r="R2" s="219"/>
    </row>
    <row r="3" spans="1:18" x14ac:dyDescent="0.25">
      <c r="A3" s="221" t="s">
        <v>201</v>
      </c>
      <c r="B3" s="222"/>
      <c r="C3" s="224" t="str">
        <f>UPPER(TEXT(FiscalYearStartDate,"kkk"))</f>
        <v>TAMMI</v>
      </c>
      <c r="D3" s="224" t="str">
        <f>UPPER(TEXT(EOMONTH(FiscalYearStartDate,1),"kkk"))</f>
        <v>HELMI</v>
      </c>
      <c r="E3" s="224" t="str">
        <f>UPPER(TEXT(EOMONTH(FiscalYearStartDate,2),"kkk"))</f>
        <v>MAALIS</v>
      </c>
      <c r="F3" s="224" t="str">
        <f>UPPER(TEXT(EOMONTH(FiscalYearStartDate,3),"kkk"))</f>
        <v>HUHTI</v>
      </c>
      <c r="G3" s="224" t="str">
        <f>UPPER(TEXT(EOMONTH(FiscalYearStartDate,4),"kkk"))</f>
        <v>TOUKO</v>
      </c>
      <c r="H3" s="224" t="str">
        <f>UPPER(TEXT(EOMONTH(FiscalYearStartDate,5),"kkk"))</f>
        <v>KESÄ</v>
      </c>
      <c r="I3" s="224" t="str">
        <f>UPPER(TEXT(EOMONTH(FiscalYearStartDate,6),"kkk"))</f>
        <v>HEINÄ</v>
      </c>
      <c r="J3" s="224" t="str">
        <f>UPPER(TEXT(EOMONTH(FiscalYearStartDate,7),"kkk"))</f>
        <v>ELO</v>
      </c>
      <c r="K3" s="224" t="str">
        <f>UPPER(TEXT(EOMONTH(FiscalYearStartDate,8),"kkk"))</f>
        <v>SYYS</v>
      </c>
      <c r="L3" s="224" t="str">
        <f>UPPER(TEXT(EOMONTH(FiscalYearStartDate,9),"kkk"))</f>
        <v>LOKA</v>
      </c>
      <c r="M3" s="224" t="str">
        <f>UPPER(TEXT(EOMONTH(FiscalYearStartDate,10),"kkk"))</f>
        <v>MARRAS</v>
      </c>
      <c r="N3" s="224" t="str">
        <f>UPPER(TEXT(EOMONTH(FiscalYearStartDate,11),"kkk"))</f>
        <v>JOULU</v>
      </c>
      <c r="P3" s="225"/>
      <c r="Q3" s="223" t="s">
        <v>182</v>
      </c>
      <c r="R3" s="219"/>
    </row>
    <row r="4" spans="1:18" ht="27" thickBot="1" x14ac:dyDescent="0.3">
      <c r="A4" s="226" t="s">
        <v>203</v>
      </c>
      <c r="B4" s="218"/>
      <c r="C4" s="228">
        <v>1</v>
      </c>
      <c r="D4" s="228">
        <v>2</v>
      </c>
      <c r="E4" s="228">
        <v>3</v>
      </c>
      <c r="F4" s="228">
        <v>4</v>
      </c>
      <c r="G4" s="228">
        <v>5</v>
      </c>
      <c r="H4" s="228">
        <v>6</v>
      </c>
      <c r="I4" s="228">
        <v>7</v>
      </c>
      <c r="J4" s="228">
        <v>8</v>
      </c>
      <c r="K4" s="228">
        <v>9</v>
      </c>
      <c r="L4" s="228">
        <v>10</v>
      </c>
      <c r="M4" s="228">
        <v>11</v>
      </c>
      <c r="N4" s="228">
        <v>12</v>
      </c>
      <c r="P4" s="229"/>
      <c r="Q4" s="230" t="s">
        <v>205</v>
      </c>
      <c r="R4" s="219"/>
    </row>
    <row r="5" spans="1:18" ht="15.75" thickTop="1" x14ac:dyDescent="0.25">
      <c r="A5" s="231"/>
      <c r="B5" s="219"/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  <c r="Q5" s="232"/>
      <c r="R5" s="219"/>
    </row>
    <row r="6" spans="1:18" ht="26.25" thickBot="1" x14ac:dyDescent="0.3">
      <c r="A6" s="235" t="s">
        <v>206</v>
      </c>
      <c r="B6" s="219"/>
      <c r="C6" s="236">
        <f>+'KASSAVIRTALASKELMA 1V.'!Q43</f>
        <v>0</v>
      </c>
      <c r="D6" s="236">
        <f>C43</f>
        <v>0</v>
      </c>
      <c r="E6" s="236">
        <f t="shared" ref="E6:N6" si="0">D43</f>
        <v>0</v>
      </c>
      <c r="F6" s="236">
        <f t="shared" si="0"/>
        <v>0</v>
      </c>
      <c r="G6" s="236">
        <f t="shared" si="0"/>
        <v>0</v>
      </c>
      <c r="H6" s="236">
        <f t="shared" si="0"/>
        <v>0</v>
      </c>
      <c r="I6" s="236">
        <f t="shared" si="0"/>
        <v>0</v>
      </c>
      <c r="J6" s="236">
        <f t="shared" si="0"/>
        <v>0</v>
      </c>
      <c r="K6" s="236">
        <f t="shared" si="0"/>
        <v>0</v>
      </c>
      <c r="L6" s="236">
        <f t="shared" si="0"/>
        <v>0</v>
      </c>
      <c r="M6" s="236">
        <f t="shared" si="0"/>
        <v>0</v>
      </c>
      <c r="N6" s="236">
        <f t="shared" si="0"/>
        <v>0</v>
      </c>
      <c r="O6" s="236"/>
      <c r="P6" s="237"/>
      <c r="Q6" s="236">
        <f>N6</f>
        <v>0</v>
      </c>
      <c r="R6" s="238"/>
    </row>
    <row r="7" spans="1:18" x14ac:dyDescent="0.25">
      <c r="A7" s="219"/>
      <c r="B7" s="21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40"/>
      <c r="Q7" s="239"/>
      <c r="R7" s="219"/>
    </row>
    <row r="8" spans="1:18" ht="15.75" thickBot="1" x14ac:dyDescent="0.3">
      <c r="A8" s="241" t="s">
        <v>207</v>
      </c>
      <c r="B8" s="219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0"/>
      <c r="Q8" s="242"/>
      <c r="R8" s="243"/>
    </row>
    <row r="9" spans="1:18" ht="15.75" thickTop="1" x14ac:dyDescent="0.25">
      <c r="A9" s="244" t="s">
        <v>208</v>
      </c>
      <c r="B9" s="240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6"/>
      <c r="Q9" s="239">
        <f>SUM(CashReceipts2[[#This Row],[Period 0]:[Period 12]])</f>
        <v>0</v>
      </c>
      <c r="R9" s="219"/>
    </row>
    <row r="10" spans="1:18" x14ac:dyDescent="0.25">
      <c r="A10" s="244" t="s">
        <v>209</v>
      </c>
      <c r="B10" s="240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6"/>
      <c r="Q10" s="239">
        <f>SUM(CashReceipts2[[#This Row],[Period 0]:[Period 12]])</f>
        <v>0</v>
      </c>
      <c r="R10" s="219"/>
    </row>
    <row r="11" spans="1:18" x14ac:dyDescent="0.25">
      <c r="A11" s="244" t="s">
        <v>210</v>
      </c>
      <c r="B11" s="247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  <c r="Q11" s="239">
        <f>SUM(CashReceipts2[[#This Row],[Period 0]:[Period 12]])</f>
        <v>0</v>
      </c>
      <c r="R11" s="219"/>
    </row>
    <row r="12" spans="1:18" ht="15.75" thickBot="1" x14ac:dyDescent="0.3">
      <c r="A12" s="244" t="s">
        <v>182</v>
      </c>
      <c r="B12" s="248"/>
      <c r="C12" s="239">
        <f>SUBTOTAL(109,CashReceipts2[Period 0])</f>
        <v>0</v>
      </c>
      <c r="D12" s="239">
        <f>SUBTOTAL(109,CashReceipts2[Period 1])</f>
        <v>0</v>
      </c>
      <c r="E12" s="239">
        <f>SUBTOTAL(109,CashReceipts2[Period 2])</f>
        <v>0</v>
      </c>
      <c r="F12" s="239">
        <f>SUBTOTAL(109,CashReceipts2[Period 3])</f>
        <v>0</v>
      </c>
      <c r="G12" s="239">
        <f>SUBTOTAL(109,CashReceipts2[Period 4])</f>
        <v>0</v>
      </c>
      <c r="H12" s="239">
        <f>SUBTOTAL(109,CashReceipts2[Period 5])</f>
        <v>0</v>
      </c>
      <c r="I12" s="239">
        <f>SUBTOTAL(109,CashReceipts2[Period 6])</f>
        <v>0</v>
      </c>
      <c r="J12" s="239">
        <f>SUBTOTAL(109,CashReceipts2[Period 7])</f>
        <v>0</v>
      </c>
      <c r="K12" s="239">
        <f>SUBTOTAL(109,CashReceipts2[Period 8])</f>
        <v>0</v>
      </c>
      <c r="L12" s="239">
        <f>SUBTOTAL(109,CashReceipts2[Period 9])</f>
        <v>0</v>
      </c>
      <c r="M12" s="239">
        <f>SUBTOTAL(109,CashReceipts2[Period 10])</f>
        <v>0</v>
      </c>
      <c r="N12" s="239">
        <f>SUBTOTAL(109,CashReceipts2[Period 11])</f>
        <v>0</v>
      </c>
      <c r="O12" s="239"/>
      <c r="P12" s="246"/>
      <c r="Q12" s="239">
        <f>SUBTOTAL(109,CashReceipts2[Total])</f>
        <v>0</v>
      </c>
      <c r="R12" s="219"/>
    </row>
    <row r="13" spans="1:18" ht="16.5" thickTop="1" thickBot="1" x14ac:dyDescent="0.3">
      <c r="A13" s="249" t="s">
        <v>211</v>
      </c>
      <c r="B13" s="250"/>
      <c r="C13" s="251">
        <f>C6+SUM(CashReceipts2[Period 0])</f>
        <v>0</v>
      </c>
      <c r="D13" s="251">
        <f>D6+SUM(CashReceipts2[Period 1])</f>
        <v>0</v>
      </c>
      <c r="E13" s="251">
        <f>E6+SUM(CashReceipts2[Period 2])</f>
        <v>0</v>
      </c>
      <c r="F13" s="251">
        <f>F6+SUM(CashReceipts2[Period 3])</f>
        <v>0</v>
      </c>
      <c r="G13" s="251">
        <f>G6+SUM(CashReceipts2[Period 4])</f>
        <v>0</v>
      </c>
      <c r="H13" s="251">
        <f>H6+SUM(CashReceipts2[Period 5])</f>
        <v>0</v>
      </c>
      <c r="I13" s="251">
        <f>I6+SUM(CashReceipts2[Period 6])</f>
        <v>0</v>
      </c>
      <c r="J13" s="251">
        <f>J6+SUM(CashReceipts2[Period 7])</f>
        <v>0</v>
      </c>
      <c r="K13" s="251">
        <f>K6+SUM(CashReceipts2[Period 8])</f>
        <v>0</v>
      </c>
      <c r="L13" s="251">
        <f>L6+SUM(CashReceipts2[Period 9])</f>
        <v>0</v>
      </c>
      <c r="M13" s="251">
        <f>M6+SUM(CashReceipts2[Period 10])</f>
        <v>0</v>
      </c>
      <c r="N13" s="251">
        <f>N6+SUM(CashReceipts2[Period 11])</f>
        <v>0</v>
      </c>
      <c r="O13" s="251"/>
      <c r="P13" s="252"/>
      <c r="Q13" s="251">
        <f>Q6+SUM(CashReceipts2[Total])</f>
        <v>0</v>
      </c>
      <c r="R13" s="253"/>
    </row>
    <row r="14" spans="1:18" x14ac:dyDescent="0.25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</row>
    <row r="15" spans="1:18" ht="15.75" thickBot="1" x14ac:dyDescent="0.3">
      <c r="A15" s="254" t="s">
        <v>212</v>
      </c>
      <c r="B15" s="240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0"/>
      <c r="Q15" s="243"/>
      <c r="R15" s="243"/>
    </row>
    <row r="16" spans="1:18" ht="15.75" thickTop="1" x14ac:dyDescent="0.25">
      <c r="A16" s="255" t="s">
        <v>213</v>
      </c>
      <c r="B16" s="240"/>
      <c r="C16" s="245"/>
      <c r="D16" s="245"/>
      <c r="E16" s="245"/>
      <c r="F16" s="256"/>
      <c r="G16" s="245"/>
      <c r="H16" s="245"/>
      <c r="I16" s="245"/>
      <c r="J16" s="245"/>
      <c r="K16" s="245"/>
      <c r="L16" s="245"/>
      <c r="M16" s="245"/>
      <c r="N16" s="245"/>
      <c r="O16" s="245"/>
      <c r="P16" s="257"/>
      <c r="Q16" s="239">
        <f>SUM(CashPaidOut3[[#This Row],[Period 0]:[Period 12]])</f>
        <v>0</v>
      </c>
      <c r="R16" s="239"/>
    </row>
    <row r="17" spans="1:18" x14ac:dyDescent="0.25">
      <c r="A17" s="255" t="s">
        <v>214</v>
      </c>
      <c r="B17" s="240"/>
      <c r="C17" s="245"/>
      <c r="D17" s="245"/>
      <c r="E17" s="245"/>
      <c r="F17" s="256"/>
      <c r="G17" s="245"/>
      <c r="H17" s="245"/>
      <c r="I17" s="245"/>
      <c r="J17" s="245"/>
      <c r="K17" s="245"/>
      <c r="L17" s="245"/>
      <c r="M17" s="245"/>
      <c r="N17" s="245"/>
      <c r="O17" s="245"/>
      <c r="P17" s="257"/>
      <c r="Q17" s="239">
        <f>SUM(CashPaidOut3[[#This Row],[Period 0]:[Period 12]])</f>
        <v>0</v>
      </c>
      <c r="R17" s="239"/>
    </row>
    <row r="18" spans="1:18" x14ac:dyDescent="0.25">
      <c r="A18" s="255" t="s">
        <v>215</v>
      </c>
      <c r="B18" s="240"/>
      <c r="C18" s="245"/>
      <c r="D18" s="245"/>
      <c r="E18" s="245"/>
      <c r="F18" s="256"/>
      <c r="G18" s="245"/>
      <c r="H18" s="245"/>
      <c r="I18" s="245"/>
      <c r="J18" s="245"/>
      <c r="K18" s="245"/>
      <c r="L18" s="245"/>
      <c r="M18" s="245"/>
      <c r="N18" s="245"/>
      <c r="O18" s="245"/>
      <c r="P18" s="257"/>
      <c r="Q18" s="239">
        <f>SUM(CashPaidOut3[[#This Row],[Period 0]:[Period 12]])</f>
        <v>0</v>
      </c>
      <c r="R18" s="239"/>
    </row>
    <row r="19" spans="1:18" x14ac:dyDescent="0.25">
      <c r="A19" s="255" t="s">
        <v>216</v>
      </c>
      <c r="B19" s="240"/>
      <c r="C19" s="245"/>
      <c r="D19" s="245"/>
      <c r="E19" s="245"/>
      <c r="F19" s="256"/>
      <c r="G19" s="245"/>
      <c r="H19" s="245"/>
      <c r="I19" s="245"/>
      <c r="J19" s="245"/>
      <c r="K19" s="245"/>
      <c r="L19" s="245"/>
      <c r="M19" s="245"/>
      <c r="N19" s="245"/>
      <c r="O19" s="245"/>
      <c r="P19" s="257"/>
      <c r="Q19" s="239">
        <f>SUM(CashPaidOut3[[#This Row],[Period 0]:[Period 12]])</f>
        <v>0</v>
      </c>
      <c r="R19" s="239"/>
    </row>
    <row r="20" spans="1:18" x14ac:dyDescent="0.25">
      <c r="A20" s="255" t="s">
        <v>217</v>
      </c>
      <c r="B20" s="240"/>
      <c r="C20" s="245"/>
      <c r="D20" s="245"/>
      <c r="E20" s="245"/>
      <c r="F20" s="256"/>
      <c r="G20" s="245"/>
      <c r="H20" s="245"/>
      <c r="I20" s="245"/>
      <c r="J20" s="245"/>
      <c r="K20" s="245"/>
      <c r="L20" s="245"/>
      <c r="M20" s="245"/>
      <c r="N20" s="245"/>
      <c r="O20" s="245"/>
      <c r="P20" s="257"/>
      <c r="Q20" s="239">
        <f>SUM(CashPaidOut3[[#This Row],[Period 0]:[Period 12]])</f>
        <v>0</v>
      </c>
      <c r="R20" s="239"/>
    </row>
    <row r="21" spans="1:18" x14ac:dyDescent="0.25">
      <c r="A21" s="255" t="s">
        <v>150</v>
      </c>
      <c r="B21" s="240"/>
      <c r="C21" s="245"/>
      <c r="D21" s="245"/>
      <c r="E21" s="245"/>
      <c r="F21" s="256"/>
      <c r="G21" s="245"/>
      <c r="H21" s="245"/>
      <c r="I21" s="245"/>
      <c r="J21" s="245"/>
      <c r="K21" s="245"/>
      <c r="L21" s="245"/>
      <c r="M21" s="245"/>
      <c r="N21" s="245"/>
      <c r="O21" s="245"/>
      <c r="P21" s="257"/>
      <c r="Q21" s="239">
        <f>SUM(CashPaidOut3[[#This Row],[Period 0]:[Period 12]])</f>
        <v>0</v>
      </c>
      <c r="R21" s="239"/>
    </row>
    <row r="22" spans="1:18" x14ac:dyDescent="0.25">
      <c r="A22" s="255" t="s">
        <v>218</v>
      </c>
      <c r="B22" s="240"/>
      <c r="C22" s="245"/>
      <c r="D22" s="245"/>
      <c r="E22" s="245"/>
      <c r="F22" s="256"/>
      <c r="G22" s="245"/>
      <c r="H22" s="245"/>
      <c r="I22" s="245"/>
      <c r="J22" s="245"/>
      <c r="K22" s="245"/>
      <c r="L22" s="245"/>
      <c r="M22" s="245"/>
      <c r="N22" s="245"/>
      <c r="O22" s="245"/>
      <c r="P22" s="257"/>
      <c r="Q22" s="239">
        <f>SUM(CashPaidOut3[[#This Row],[Period 0]:[Period 12]])</f>
        <v>0</v>
      </c>
      <c r="R22" s="239"/>
    </row>
    <row r="23" spans="1:18" x14ac:dyDescent="0.25">
      <c r="A23" s="255" t="s">
        <v>219</v>
      </c>
      <c r="B23" s="240"/>
      <c r="C23" s="245"/>
      <c r="D23" s="245"/>
      <c r="E23" s="245"/>
      <c r="F23" s="256"/>
      <c r="G23" s="245"/>
      <c r="H23" s="245"/>
      <c r="I23" s="245"/>
      <c r="J23" s="245"/>
      <c r="K23" s="245"/>
      <c r="L23" s="245"/>
      <c r="M23" s="245"/>
      <c r="N23" s="245"/>
      <c r="O23" s="245"/>
      <c r="P23" s="257"/>
      <c r="Q23" s="239">
        <f>SUM(CashPaidOut3[[#This Row],[Period 0]:[Period 12]])</f>
        <v>0</v>
      </c>
      <c r="R23" s="239"/>
    </row>
    <row r="24" spans="1:18" x14ac:dyDescent="0.25">
      <c r="A24" s="255" t="s">
        <v>220</v>
      </c>
      <c r="B24" s="240"/>
      <c r="C24" s="245"/>
      <c r="D24" s="245"/>
      <c r="E24" s="245"/>
      <c r="F24" s="256"/>
      <c r="G24" s="245"/>
      <c r="H24" s="245"/>
      <c r="I24" s="245"/>
      <c r="J24" s="245"/>
      <c r="K24" s="245"/>
      <c r="L24" s="245"/>
      <c r="M24" s="245"/>
      <c r="N24" s="245"/>
      <c r="O24" s="245"/>
      <c r="P24" s="257"/>
      <c r="Q24" s="239">
        <f>SUM(CashPaidOut3[[#This Row],[Period 0]:[Period 12]])</f>
        <v>0</v>
      </c>
      <c r="R24" s="239"/>
    </row>
    <row r="25" spans="1:18" x14ac:dyDescent="0.25">
      <c r="A25" s="255" t="s">
        <v>221</v>
      </c>
      <c r="B25" s="240"/>
      <c r="C25" s="245"/>
      <c r="D25" s="245"/>
      <c r="E25" s="245"/>
      <c r="F25" s="256"/>
      <c r="G25" s="245"/>
      <c r="H25" s="245"/>
      <c r="I25" s="245"/>
      <c r="J25" s="245"/>
      <c r="K25" s="245"/>
      <c r="L25" s="245"/>
      <c r="M25" s="245"/>
      <c r="N25" s="245"/>
      <c r="O25" s="245"/>
      <c r="P25" s="257"/>
      <c r="Q25" s="239">
        <f>SUM(CashPaidOut3[[#This Row],[Period 0]:[Period 12]])</f>
        <v>0</v>
      </c>
      <c r="R25" s="239"/>
    </row>
    <row r="26" spans="1:18" x14ac:dyDescent="0.25">
      <c r="A26" s="255" t="s">
        <v>222</v>
      </c>
      <c r="B26" s="240"/>
      <c r="C26" s="245"/>
      <c r="D26" s="245"/>
      <c r="E26" s="245"/>
      <c r="F26" s="256"/>
      <c r="G26" s="245"/>
      <c r="H26" s="245"/>
      <c r="I26" s="245"/>
      <c r="J26" s="245"/>
      <c r="K26" s="245"/>
      <c r="L26" s="245"/>
      <c r="M26" s="245"/>
      <c r="N26" s="245"/>
      <c r="O26" s="245"/>
      <c r="P26" s="257"/>
      <c r="Q26" s="239">
        <f>SUM(CashPaidOut3[[#This Row],[Period 0]:[Period 12]])</f>
        <v>0</v>
      </c>
      <c r="R26" s="239"/>
    </row>
    <row r="27" spans="1:18" x14ac:dyDescent="0.25">
      <c r="A27" s="255" t="s">
        <v>223</v>
      </c>
      <c r="B27" s="240"/>
      <c r="C27" s="245"/>
      <c r="D27" s="245"/>
      <c r="E27" s="245"/>
      <c r="F27" s="256"/>
      <c r="G27" s="245"/>
      <c r="H27" s="245"/>
      <c r="I27" s="245"/>
      <c r="J27" s="245"/>
      <c r="K27" s="245"/>
      <c r="L27" s="245"/>
      <c r="M27" s="245"/>
      <c r="N27" s="245"/>
      <c r="O27" s="245"/>
      <c r="P27" s="257"/>
      <c r="Q27" s="239">
        <f>SUM(CashPaidOut3[[#This Row],[Period 0]:[Period 12]])</f>
        <v>0</v>
      </c>
      <c r="R27" s="239"/>
    </row>
    <row r="28" spans="1:18" x14ac:dyDescent="0.25">
      <c r="A28" s="255" t="s">
        <v>224</v>
      </c>
      <c r="B28" s="240"/>
      <c r="C28" s="245"/>
      <c r="D28" s="245"/>
      <c r="E28" s="245"/>
      <c r="F28" s="256"/>
      <c r="G28" s="245"/>
      <c r="H28" s="245"/>
      <c r="I28" s="245"/>
      <c r="J28" s="245"/>
      <c r="K28" s="245"/>
      <c r="L28" s="245"/>
      <c r="M28" s="245"/>
      <c r="N28" s="245"/>
      <c r="O28" s="245"/>
      <c r="P28" s="257"/>
      <c r="Q28" s="239">
        <f>SUM(CashPaidOut3[[#This Row],[Period 0]:[Period 12]])</f>
        <v>0</v>
      </c>
      <c r="R28" s="239"/>
    </row>
    <row r="29" spans="1:18" x14ac:dyDescent="0.25">
      <c r="A29" s="255" t="s">
        <v>225</v>
      </c>
      <c r="B29" s="240"/>
      <c r="C29" s="245"/>
      <c r="D29" s="245"/>
      <c r="E29" s="245"/>
      <c r="F29" s="256"/>
      <c r="G29" s="245"/>
      <c r="H29" s="245"/>
      <c r="I29" s="245"/>
      <c r="J29" s="245"/>
      <c r="K29" s="245"/>
      <c r="L29" s="245"/>
      <c r="M29" s="245"/>
      <c r="N29" s="245"/>
      <c r="O29" s="245"/>
      <c r="P29" s="257"/>
      <c r="Q29" s="239">
        <f>SUM(CashPaidOut3[[#This Row],[Period 0]:[Period 12]])</f>
        <v>0</v>
      </c>
      <c r="R29" s="239"/>
    </row>
    <row r="30" spans="1:18" x14ac:dyDescent="0.25">
      <c r="A30" s="255" t="s">
        <v>226</v>
      </c>
      <c r="B30" s="240"/>
      <c r="C30" s="245"/>
      <c r="D30" s="245"/>
      <c r="E30" s="245"/>
      <c r="F30" s="256"/>
      <c r="G30" s="245"/>
      <c r="H30" s="245"/>
      <c r="I30" s="245"/>
      <c r="J30" s="245"/>
      <c r="K30" s="245"/>
      <c r="L30" s="245"/>
      <c r="M30" s="245"/>
      <c r="N30" s="245"/>
      <c r="O30" s="245"/>
      <c r="P30" s="257"/>
      <c r="Q30" s="239">
        <f>SUM(CashPaidOut3[[#This Row],[Period 0]:[Period 12]])</f>
        <v>0</v>
      </c>
      <c r="R30" s="239"/>
    </row>
    <row r="31" spans="1:18" x14ac:dyDescent="0.25">
      <c r="A31" s="255" t="s">
        <v>227</v>
      </c>
      <c r="B31" s="240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58"/>
      <c r="Q31" s="239">
        <f>SUM(CashPaidOut3[[#This Row],[Period 0]:[Period 12]])</f>
        <v>0</v>
      </c>
      <c r="R31" s="239"/>
    </row>
    <row r="32" spans="1:18" x14ac:dyDescent="0.25">
      <c r="A32" s="255" t="s">
        <v>228</v>
      </c>
      <c r="B32" s="240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58"/>
      <c r="Q32" s="239">
        <f>SUM(CashPaidOut3[[#This Row],[Period 0]:[Period 12]])</f>
        <v>0</v>
      </c>
      <c r="R32" s="239"/>
    </row>
    <row r="33" spans="1:18" x14ac:dyDescent="0.25">
      <c r="A33" s="255" t="s">
        <v>229</v>
      </c>
      <c r="B33" s="240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57"/>
      <c r="Q33" s="239">
        <f>SUM(CashPaidOut3[[#This Row],[Period 0]:[Period 12]])</f>
        <v>0</v>
      </c>
      <c r="R33" s="239"/>
    </row>
    <row r="34" spans="1:18" x14ac:dyDescent="0.25">
      <c r="A34" s="255" t="s">
        <v>230</v>
      </c>
      <c r="B34" s="240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58"/>
      <c r="Q34" s="239">
        <f>SUM(CashPaidOut3[[#This Row],[Period 0]:[Period 12]])</f>
        <v>0</v>
      </c>
      <c r="R34" s="239"/>
    </row>
    <row r="35" spans="1:18" x14ac:dyDescent="0.25">
      <c r="A35" s="255" t="s">
        <v>231</v>
      </c>
      <c r="B35" s="240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58"/>
      <c r="Q35" s="239">
        <f>SUM(CashPaidOut3[[#This Row],[Period 0]:[Period 12]])</f>
        <v>0</v>
      </c>
      <c r="R35" s="239"/>
    </row>
    <row r="36" spans="1:18" x14ac:dyDescent="0.25">
      <c r="A36" s="255" t="s">
        <v>232</v>
      </c>
      <c r="B36" s="240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58"/>
      <c r="Q36" s="239">
        <f>SUM(CashPaidOut3[[#This Row],[Period 0]:[Period 12]])</f>
        <v>0</v>
      </c>
      <c r="R36" s="239"/>
    </row>
    <row r="37" spans="1:18" x14ac:dyDescent="0.25">
      <c r="A37" s="255" t="s">
        <v>233</v>
      </c>
      <c r="B37" s="240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58"/>
      <c r="Q37" s="239">
        <f>SUM(CashPaidOut3[[#This Row],[Period 0]:[Period 12]])</f>
        <v>0</v>
      </c>
      <c r="R37" s="239"/>
    </row>
    <row r="38" spans="1:18" x14ac:dyDescent="0.25">
      <c r="A38" s="255" t="s">
        <v>234</v>
      </c>
      <c r="B38" s="240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57"/>
      <c r="Q38" s="239">
        <f>SUM(CashPaidOut3[[#This Row],[Period 0]:[Period 12]])</f>
        <v>0</v>
      </c>
      <c r="R38" s="239"/>
    </row>
    <row r="39" spans="1:18" x14ac:dyDescent="0.25">
      <c r="A39" s="255" t="s">
        <v>235</v>
      </c>
      <c r="B39" s="240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58"/>
      <c r="Q39" s="239">
        <f>SUM(CashPaidOut3[[#This Row],[Period 0]:[Period 12]])</f>
        <v>0</v>
      </c>
      <c r="R39" s="239"/>
    </row>
    <row r="40" spans="1:18" x14ac:dyDescent="0.25">
      <c r="A40" s="259" t="s">
        <v>236</v>
      </c>
      <c r="B40" s="240"/>
      <c r="C40" s="239">
        <f>SUBTOTAL(109,CashPaidOut3[Period 0])</f>
        <v>0</v>
      </c>
      <c r="D40" s="239">
        <f>SUBTOTAL(109,CashPaidOut3[Period 1])</f>
        <v>0</v>
      </c>
      <c r="E40" s="239">
        <f>SUBTOTAL(109,CashPaidOut3[Period 2])</f>
        <v>0</v>
      </c>
      <c r="F40" s="239">
        <f>SUBTOTAL(109,CashPaidOut3[Period 3])</f>
        <v>0</v>
      </c>
      <c r="G40" s="239">
        <f>SUBTOTAL(109,CashPaidOut3[Period 4])</f>
        <v>0</v>
      </c>
      <c r="H40" s="239">
        <f>SUBTOTAL(109,CashPaidOut3[Period 5])</f>
        <v>0</v>
      </c>
      <c r="I40" s="239">
        <f>SUBTOTAL(109,CashPaidOut3[Period 6])</f>
        <v>0</v>
      </c>
      <c r="J40" s="239">
        <f>SUBTOTAL(109,CashPaidOut3[Period 7])</f>
        <v>0</v>
      </c>
      <c r="K40" s="239">
        <f>SUBTOTAL(109,CashPaidOut3[Period 8])</f>
        <v>0</v>
      </c>
      <c r="L40" s="239">
        <f>SUBTOTAL(109,CashPaidOut3[Period 9])</f>
        <v>0</v>
      </c>
      <c r="M40" s="239">
        <f>SUBTOTAL(109,CashPaidOut3[Period 10])</f>
        <v>0</v>
      </c>
      <c r="N40" s="239">
        <f>SUBTOTAL(109,CashPaidOut3[Period 11])</f>
        <v>0</v>
      </c>
      <c r="O40" s="239"/>
      <c r="P40" s="258"/>
      <c r="Q40" s="239">
        <f>SUBTOTAL(109,CashPaidOut3[Total])</f>
        <v>0</v>
      </c>
      <c r="R40" s="219"/>
    </row>
    <row r="41" spans="1:18" x14ac:dyDescent="0.25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</row>
    <row r="42" spans="1:18" x14ac:dyDescent="0.25">
      <c r="A42" s="301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</row>
    <row r="43" spans="1:18" ht="15.75" thickBot="1" x14ac:dyDescent="0.3">
      <c r="A43" s="249" t="s">
        <v>237</v>
      </c>
      <c r="B43" s="250"/>
      <c r="C43" s="260">
        <f t="shared" ref="C43:N43" si="1">C13-C40</f>
        <v>0</v>
      </c>
      <c r="D43" s="260">
        <f t="shared" si="1"/>
        <v>0</v>
      </c>
      <c r="E43" s="260">
        <f t="shared" si="1"/>
        <v>0</v>
      </c>
      <c r="F43" s="260">
        <f t="shared" si="1"/>
        <v>0</v>
      </c>
      <c r="G43" s="260">
        <f t="shared" si="1"/>
        <v>0</v>
      </c>
      <c r="H43" s="260">
        <f t="shared" si="1"/>
        <v>0</v>
      </c>
      <c r="I43" s="260">
        <f t="shared" si="1"/>
        <v>0</v>
      </c>
      <c r="J43" s="260">
        <f t="shared" si="1"/>
        <v>0</v>
      </c>
      <c r="K43" s="260">
        <f t="shared" si="1"/>
        <v>0</v>
      </c>
      <c r="L43" s="260">
        <f t="shared" si="1"/>
        <v>0</v>
      </c>
      <c r="M43" s="260">
        <f t="shared" si="1"/>
        <v>0</v>
      </c>
      <c r="N43" s="260">
        <f t="shared" si="1"/>
        <v>0</v>
      </c>
      <c r="O43" s="260"/>
      <c r="P43" s="250"/>
      <c r="Q43" s="260">
        <f>Q13-Q40</f>
        <v>0</v>
      </c>
      <c r="R43" s="261"/>
    </row>
    <row r="44" spans="1:18" x14ac:dyDescent="0.2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</row>
  </sheetData>
  <mergeCells count="3">
    <mergeCell ref="A14:R14"/>
    <mergeCell ref="A41:R41"/>
    <mergeCell ref="A42:R42"/>
  </mergeCells>
  <conditionalFormatting sqref="D13:O13">
    <cfRule type="expression" dxfId="169" priority="1">
      <formula>D13&lt;0</formula>
    </cfRule>
  </conditionalFormatting>
  <conditionalFormatting sqref="D6:O6">
    <cfRule type="expression" dxfId="168" priority="3">
      <formula>D6&lt;0</formula>
    </cfRule>
  </conditionalFormatting>
  <conditionalFormatting sqref="D43:O43">
    <cfRule type="expression" dxfId="167" priority="2">
      <formula>D43&lt;0</formula>
    </cfRule>
  </conditionalFormatting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2197C9B-C110-4323-9EF6-BC0908323E89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D6:Q6</xm:sqref>
        </x14:conditionalFormatting>
        <x14:conditionalFormatting xmlns:xm="http://schemas.microsoft.com/office/excel/2006/main">
          <x14:cfRule type="iconSet" priority="5" id="{06C27433-FF29-4D48-8EDA-E1AA4B8699C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C13:Q13</xm:sqref>
        </x14:conditionalFormatting>
        <x14:conditionalFormatting xmlns:xm="http://schemas.microsoft.com/office/excel/2006/main">
          <x14:cfRule type="iconSet" priority="6" id="{437DAD53-1191-4707-842A-BE5F759B69D1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Q43 C43:O43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>
          <x14:colorSeries theme="0" tint="-0.34998626667073579"/>
          <x14:colorNegative theme="9"/>
          <x14:colorAxis rgb="FF000000"/>
          <x14:colorMarkers theme="9"/>
          <x14:colorFirst theme="4"/>
          <x14:colorLast theme="5"/>
          <x14:colorHigh theme="6"/>
          <x14:colorLow theme="7"/>
          <x14:sparklines>
            <x14:sparkline>
              <xm:f>'KASSAVIRTALASKELMA 2 V.'!C43:O43</xm:f>
              <xm:sqref>R43</xm:sqref>
            </x14:sparkline>
            <x14:sparkline>
              <xm:f>'KASSAVIRTALASKELMA 2 V.'!C13:O13</xm:f>
              <xm:sqref>R13</xm:sqref>
            </x14:sparkline>
            <x14:sparkline>
              <xm:f>'KASSAVIRTALASKELMA 2 V.'!C40:O40</xm:f>
              <xm:sqref>R40</xm:sqref>
            </x14:sparkline>
            <x14:sparkline>
              <xm:f>'KASSAVIRTALASKELMA 2 V.'!C6:O6</xm:f>
              <xm:sqref>R6</xm:sqref>
            </x14:sparkline>
            <x14:sparkline>
              <xm:f>'KASSAVIRTALASKELMA 2 V.'!C12:O12</xm:f>
              <xm:sqref>R12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C10" sqref="C10"/>
    </sheetView>
  </sheetViews>
  <sheetFormatPr defaultRowHeight="15" x14ac:dyDescent="0.25"/>
  <cols>
    <col min="1" max="1" width="27.140625" bestFit="1" customWidth="1"/>
    <col min="2" max="2" width="2" customWidth="1"/>
  </cols>
  <sheetData>
    <row r="1" spans="1:18" ht="21.75" thickBot="1" x14ac:dyDescent="0.35">
      <c r="A1" s="214" t="s">
        <v>199</v>
      </c>
      <c r="B1" s="215"/>
      <c r="C1" s="215"/>
      <c r="D1" s="216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5.75" thickTop="1" x14ac:dyDescent="0.25">
      <c r="A2" s="218" t="s">
        <v>238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  <c r="Q2" s="219"/>
      <c r="R2" s="219"/>
    </row>
    <row r="3" spans="1:18" x14ac:dyDescent="0.25">
      <c r="A3" s="221" t="s">
        <v>201</v>
      </c>
      <c r="B3" s="222"/>
      <c r="C3" s="224" t="str">
        <f>UPPER(TEXT(FiscalYearStartDate,"kkk"))</f>
        <v>TAMMI</v>
      </c>
      <c r="D3" s="224" t="str">
        <f>UPPER(TEXT(EOMONTH(FiscalYearStartDate,1),"kkk"))</f>
        <v>HELMI</v>
      </c>
      <c r="E3" s="224" t="str">
        <f>UPPER(TEXT(EOMONTH(FiscalYearStartDate,2),"kkk"))</f>
        <v>MAALIS</v>
      </c>
      <c r="F3" s="224" t="str">
        <f>UPPER(TEXT(EOMONTH(FiscalYearStartDate,3),"kkk"))</f>
        <v>HUHTI</v>
      </c>
      <c r="G3" s="224" t="str">
        <f>UPPER(TEXT(EOMONTH(FiscalYearStartDate,4),"kkk"))</f>
        <v>TOUKO</v>
      </c>
      <c r="H3" s="224" t="str">
        <f>UPPER(TEXT(EOMONTH(FiscalYearStartDate,5),"kkk"))</f>
        <v>KESÄ</v>
      </c>
      <c r="I3" s="224" t="str">
        <f>UPPER(TEXT(EOMONTH(FiscalYearStartDate,6),"kkk"))</f>
        <v>HEINÄ</v>
      </c>
      <c r="J3" s="224" t="str">
        <f>UPPER(TEXT(EOMONTH(FiscalYearStartDate,7),"kkk"))</f>
        <v>ELO</v>
      </c>
      <c r="K3" s="224" t="str">
        <f>UPPER(TEXT(EOMONTH(FiscalYearStartDate,8),"kkk"))</f>
        <v>SYYS</v>
      </c>
      <c r="L3" s="224" t="str">
        <f>UPPER(TEXT(EOMONTH(FiscalYearStartDate,9),"kkk"))</f>
        <v>LOKA</v>
      </c>
      <c r="M3" s="224" t="str">
        <f>UPPER(TEXT(EOMONTH(FiscalYearStartDate,10),"kkk"))</f>
        <v>MARRAS</v>
      </c>
      <c r="N3" s="224" t="str">
        <f>UPPER(TEXT(EOMONTH(FiscalYearStartDate,11),"kkk"))</f>
        <v>JOULU</v>
      </c>
      <c r="P3" s="225"/>
      <c r="Q3" s="223" t="s">
        <v>182</v>
      </c>
      <c r="R3" s="219"/>
    </row>
    <row r="4" spans="1:18" ht="27" thickBot="1" x14ac:dyDescent="0.3">
      <c r="A4" s="226" t="s">
        <v>203</v>
      </c>
      <c r="B4" s="218"/>
      <c r="C4" s="228">
        <f>FiscalYearStartDate</f>
        <v>45292</v>
      </c>
      <c r="D4" s="228">
        <f t="shared" ref="D4:N4" si="0">EOMONTH(C4,0)+DAY(FiscalYearStartDate)</f>
        <v>45323</v>
      </c>
      <c r="E4" s="228">
        <f t="shared" si="0"/>
        <v>45352</v>
      </c>
      <c r="F4" s="228">
        <f t="shared" si="0"/>
        <v>45383</v>
      </c>
      <c r="G4" s="228">
        <f t="shared" si="0"/>
        <v>45413</v>
      </c>
      <c r="H4" s="228">
        <f t="shared" si="0"/>
        <v>45444</v>
      </c>
      <c r="I4" s="228">
        <f t="shared" si="0"/>
        <v>45474</v>
      </c>
      <c r="J4" s="228">
        <f t="shared" si="0"/>
        <v>45505</v>
      </c>
      <c r="K4" s="228">
        <f t="shared" si="0"/>
        <v>45536</v>
      </c>
      <c r="L4" s="228">
        <f t="shared" si="0"/>
        <v>45566</v>
      </c>
      <c r="M4" s="228">
        <f t="shared" si="0"/>
        <v>45597</v>
      </c>
      <c r="N4" s="228">
        <f t="shared" si="0"/>
        <v>45627</v>
      </c>
      <c r="P4" s="229"/>
      <c r="Q4" s="230" t="s">
        <v>205</v>
      </c>
      <c r="R4" s="219"/>
    </row>
    <row r="5" spans="1:18" ht="15.75" thickTop="1" x14ac:dyDescent="0.25">
      <c r="A5" s="231"/>
      <c r="B5" s="219"/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  <c r="Q5" s="232"/>
      <c r="R5" s="219"/>
    </row>
    <row r="6" spans="1:18" ht="26.25" thickBot="1" x14ac:dyDescent="0.3">
      <c r="A6" s="235" t="s">
        <v>206</v>
      </c>
      <c r="B6" s="219"/>
      <c r="C6" s="236">
        <f>+'KASSAVIRTALASKELMA 2 V.'!Q43</f>
        <v>0</v>
      </c>
      <c r="D6" s="236">
        <f>C43</f>
        <v>0</v>
      </c>
      <c r="E6" s="236">
        <f t="shared" ref="E6:N6" si="1">D43</f>
        <v>0</v>
      </c>
      <c r="F6" s="236">
        <f t="shared" si="1"/>
        <v>0</v>
      </c>
      <c r="G6" s="236">
        <f t="shared" si="1"/>
        <v>0</v>
      </c>
      <c r="H6" s="236">
        <f t="shared" si="1"/>
        <v>0</v>
      </c>
      <c r="I6" s="236">
        <f t="shared" si="1"/>
        <v>0</v>
      </c>
      <c r="J6" s="236">
        <f t="shared" si="1"/>
        <v>0</v>
      </c>
      <c r="K6" s="236">
        <f t="shared" si="1"/>
        <v>0</v>
      </c>
      <c r="L6" s="236">
        <f t="shared" si="1"/>
        <v>0</v>
      </c>
      <c r="M6" s="236">
        <f t="shared" si="1"/>
        <v>0</v>
      </c>
      <c r="N6" s="236">
        <f t="shared" si="1"/>
        <v>0</v>
      </c>
      <c r="O6" s="236"/>
      <c r="P6" s="237"/>
      <c r="Q6" s="236">
        <f>N6</f>
        <v>0</v>
      </c>
      <c r="R6" s="238"/>
    </row>
    <row r="7" spans="1:18" x14ac:dyDescent="0.25">
      <c r="A7" s="219"/>
      <c r="B7" s="21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40"/>
      <c r="Q7" s="239"/>
      <c r="R7" s="219"/>
    </row>
    <row r="8" spans="1:18" ht="15.75" thickBot="1" x14ac:dyDescent="0.3">
      <c r="A8" s="241" t="s">
        <v>207</v>
      </c>
      <c r="B8" s="219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0"/>
      <c r="Q8" s="242"/>
      <c r="R8" s="243"/>
    </row>
    <row r="9" spans="1:18" ht="15.75" thickTop="1" x14ac:dyDescent="0.25">
      <c r="A9" s="244" t="s">
        <v>208</v>
      </c>
      <c r="B9" s="240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6"/>
      <c r="Q9" s="239">
        <f>SUM(CashReceipts24[[#This Row],[Period 0]:[Period 12]])</f>
        <v>0</v>
      </c>
      <c r="R9" s="219"/>
    </row>
    <row r="10" spans="1:18" x14ac:dyDescent="0.25">
      <c r="A10" s="244" t="s">
        <v>209</v>
      </c>
      <c r="B10" s="240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6"/>
      <c r="Q10" s="239">
        <f>SUM(CashReceipts24[[#This Row],[Period 0]:[Period 12]])</f>
        <v>0</v>
      </c>
      <c r="R10" s="219"/>
    </row>
    <row r="11" spans="1:18" x14ac:dyDescent="0.25">
      <c r="A11" s="244" t="s">
        <v>210</v>
      </c>
      <c r="B11" s="247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  <c r="Q11" s="239">
        <f>SUM(CashReceipts24[[#This Row],[Period 0]:[Period 12]])</f>
        <v>0</v>
      </c>
      <c r="R11" s="219"/>
    </row>
    <row r="12" spans="1:18" ht="15.75" thickBot="1" x14ac:dyDescent="0.3">
      <c r="A12" s="244" t="s">
        <v>182</v>
      </c>
      <c r="B12" s="248"/>
      <c r="C12" s="239">
        <f>SUBTOTAL(109,CashReceipts24[Period 0])</f>
        <v>0</v>
      </c>
      <c r="D12" s="239">
        <f>SUBTOTAL(109,CashReceipts24[Period 1])</f>
        <v>0</v>
      </c>
      <c r="E12" s="239">
        <f>SUBTOTAL(109,CashReceipts24[Period 2])</f>
        <v>0</v>
      </c>
      <c r="F12" s="239">
        <f>SUBTOTAL(109,CashReceipts24[Period 3])</f>
        <v>0</v>
      </c>
      <c r="G12" s="239">
        <f>SUBTOTAL(109,CashReceipts24[Period 4])</f>
        <v>0</v>
      </c>
      <c r="H12" s="239">
        <f>SUBTOTAL(109,CashReceipts24[Period 5])</f>
        <v>0</v>
      </c>
      <c r="I12" s="239">
        <f>SUBTOTAL(109,CashReceipts24[Period 6])</f>
        <v>0</v>
      </c>
      <c r="J12" s="239">
        <f>SUBTOTAL(109,CashReceipts24[Period 7])</f>
        <v>0</v>
      </c>
      <c r="K12" s="239">
        <f>SUBTOTAL(109,CashReceipts24[Period 8])</f>
        <v>0</v>
      </c>
      <c r="L12" s="239">
        <f>SUBTOTAL(109,CashReceipts24[Period 9])</f>
        <v>0</v>
      </c>
      <c r="M12" s="239">
        <f>SUBTOTAL(109,CashReceipts24[Period 10])</f>
        <v>0</v>
      </c>
      <c r="N12" s="239">
        <f>SUBTOTAL(109,CashReceipts24[Period 11])</f>
        <v>0</v>
      </c>
      <c r="O12" s="239"/>
      <c r="P12" s="246"/>
      <c r="Q12" s="239">
        <f>SUBTOTAL(109,CashReceipts24[Total])</f>
        <v>0</v>
      </c>
      <c r="R12" s="219"/>
    </row>
    <row r="13" spans="1:18" ht="16.5" thickTop="1" thickBot="1" x14ac:dyDescent="0.3">
      <c r="A13" s="249" t="s">
        <v>211</v>
      </c>
      <c r="B13" s="250"/>
      <c r="C13" s="251">
        <f>C6+SUM(CashReceipts24[Period 0])</f>
        <v>0</v>
      </c>
      <c r="D13" s="251">
        <f>D6+SUM(CashReceipts24[Period 1])</f>
        <v>0</v>
      </c>
      <c r="E13" s="251">
        <f>E6+SUM(CashReceipts24[Period 2])</f>
        <v>0</v>
      </c>
      <c r="F13" s="251">
        <f>F6+SUM(CashReceipts24[Period 3])</f>
        <v>0</v>
      </c>
      <c r="G13" s="251">
        <f>G6+SUM(CashReceipts24[Period 4])</f>
        <v>0</v>
      </c>
      <c r="H13" s="251">
        <f>H6+SUM(CashReceipts24[Period 5])</f>
        <v>0</v>
      </c>
      <c r="I13" s="251">
        <f>I6+SUM(CashReceipts24[Period 6])</f>
        <v>0</v>
      </c>
      <c r="J13" s="251">
        <f>J6+SUM(CashReceipts24[Period 7])</f>
        <v>0</v>
      </c>
      <c r="K13" s="251">
        <f>K6+SUM(CashReceipts24[Period 8])</f>
        <v>0</v>
      </c>
      <c r="L13" s="251">
        <f>L6+SUM(CashReceipts24[Period 9])</f>
        <v>0</v>
      </c>
      <c r="M13" s="251">
        <f>M6+SUM(CashReceipts24[Period 10])</f>
        <v>0</v>
      </c>
      <c r="N13" s="251">
        <f>N6+SUM(CashReceipts24[Period 11])</f>
        <v>0</v>
      </c>
      <c r="O13" s="251"/>
      <c r="P13" s="252"/>
      <c r="Q13" s="251">
        <f>Q6+SUM(CashReceipts24[Total])</f>
        <v>0</v>
      </c>
      <c r="R13" s="253"/>
    </row>
    <row r="14" spans="1:18" x14ac:dyDescent="0.25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</row>
    <row r="15" spans="1:18" ht="15.75" thickBot="1" x14ac:dyDescent="0.3">
      <c r="A15" s="254" t="s">
        <v>212</v>
      </c>
      <c r="B15" s="240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0"/>
      <c r="Q15" s="243"/>
      <c r="R15" s="243"/>
    </row>
    <row r="16" spans="1:18" ht="15.75" thickTop="1" x14ac:dyDescent="0.25">
      <c r="A16" s="255" t="s">
        <v>213</v>
      </c>
      <c r="B16" s="240"/>
      <c r="C16" s="245"/>
      <c r="D16" s="245"/>
      <c r="E16" s="245"/>
      <c r="F16" s="256"/>
      <c r="G16" s="245"/>
      <c r="H16" s="245"/>
      <c r="I16" s="245"/>
      <c r="J16" s="245"/>
      <c r="K16" s="245"/>
      <c r="L16" s="245"/>
      <c r="M16" s="245"/>
      <c r="N16" s="245"/>
      <c r="O16" s="245"/>
      <c r="P16" s="257"/>
      <c r="Q16" s="239">
        <f>SUM(CashPaidOut35[[#This Row],[Period 0]:[Period 12]])</f>
        <v>0</v>
      </c>
      <c r="R16" s="239"/>
    </row>
    <row r="17" spans="1:18" x14ac:dyDescent="0.25">
      <c r="A17" s="255" t="s">
        <v>214</v>
      </c>
      <c r="B17" s="240"/>
      <c r="C17" s="245"/>
      <c r="D17" s="245"/>
      <c r="E17" s="245"/>
      <c r="F17" s="256"/>
      <c r="G17" s="245"/>
      <c r="H17" s="245"/>
      <c r="I17" s="245"/>
      <c r="J17" s="245"/>
      <c r="K17" s="245"/>
      <c r="L17" s="245"/>
      <c r="M17" s="245"/>
      <c r="N17" s="245"/>
      <c r="O17" s="245"/>
      <c r="P17" s="257"/>
      <c r="Q17" s="239">
        <f>SUM(CashPaidOut35[[#This Row],[Period 0]:[Period 12]])</f>
        <v>0</v>
      </c>
      <c r="R17" s="239"/>
    </row>
    <row r="18" spans="1:18" x14ac:dyDescent="0.25">
      <c r="A18" s="255" t="s">
        <v>215</v>
      </c>
      <c r="B18" s="240"/>
      <c r="C18" s="245"/>
      <c r="D18" s="245"/>
      <c r="E18" s="245"/>
      <c r="F18" s="256"/>
      <c r="G18" s="245"/>
      <c r="H18" s="245"/>
      <c r="I18" s="245"/>
      <c r="J18" s="245"/>
      <c r="K18" s="245"/>
      <c r="L18" s="245"/>
      <c r="M18" s="245"/>
      <c r="N18" s="245"/>
      <c r="O18" s="245"/>
      <c r="P18" s="257"/>
      <c r="Q18" s="239">
        <f>SUM(CashPaidOut35[[#This Row],[Period 0]:[Period 12]])</f>
        <v>0</v>
      </c>
      <c r="R18" s="239"/>
    </row>
    <row r="19" spans="1:18" x14ac:dyDescent="0.25">
      <c r="A19" s="255" t="s">
        <v>216</v>
      </c>
      <c r="B19" s="240"/>
      <c r="C19" s="245"/>
      <c r="D19" s="245"/>
      <c r="E19" s="245"/>
      <c r="F19" s="256"/>
      <c r="G19" s="245"/>
      <c r="H19" s="245"/>
      <c r="I19" s="245"/>
      <c r="J19" s="245"/>
      <c r="K19" s="245"/>
      <c r="L19" s="245"/>
      <c r="M19" s="245"/>
      <c r="N19" s="245"/>
      <c r="O19" s="245"/>
      <c r="P19" s="257"/>
      <c r="Q19" s="239">
        <f>SUM(CashPaidOut35[[#This Row],[Period 0]:[Period 12]])</f>
        <v>0</v>
      </c>
      <c r="R19" s="239"/>
    </row>
    <row r="20" spans="1:18" x14ac:dyDescent="0.25">
      <c r="A20" s="255" t="s">
        <v>217</v>
      </c>
      <c r="B20" s="240"/>
      <c r="C20" s="245"/>
      <c r="D20" s="245"/>
      <c r="E20" s="245"/>
      <c r="F20" s="256"/>
      <c r="G20" s="245"/>
      <c r="H20" s="245"/>
      <c r="I20" s="245"/>
      <c r="J20" s="245"/>
      <c r="K20" s="245"/>
      <c r="L20" s="245"/>
      <c r="M20" s="245"/>
      <c r="N20" s="245"/>
      <c r="O20" s="245"/>
      <c r="P20" s="257"/>
      <c r="Q20" s="239">
        <f>SUM(CashPaidOut35[[#This Row],[Period 0]:[Period 12]])</f>
        <v>0</v>
      </c>
      <c r="R20" s="239"/>
    </row>
    <row r="21" spans="1:18" x14ac:dyDescent="0.25">
      <c r="A21" s="255" t="s">
        <v>150</v>
      </c>
      <c r="B21" s="240"/>
      <c r="C21" s="245"/>
      <c r="D21" s="245"/>
      <c r="E21" s="245"/>
      <c r="F21" s="256"/>
      <c r="G21" s="245"/>
      <c r="H21" s="245"/>
      <c r="I21" s="245"/>
      <c r="J21" s="245"/>
      <c r="K21" s="245"/>
      <c r="L21" s="245"/>
      <c r="M21" s="245"/>
      <c r="N21" s="245"/>
      <c r="O21" s="245"/>
      <c r="P21" s="257"/>
      <c r="Q21" s="239">
        <f>SUM(CashPaidOut35[[#This Row],[Period 0]:[Period 12]])</f>
        <v>0</v>
      </c>
      <c r="R21" s="239"/>
    </row>
    <row r="22" spans="1:18" x14ac:dyDescent="0.25">
      <c r="A22" s="255" t="s">
        <v>218</v>
      </c>
      <c r="B22" s="240"/>
      <c r="C22" s="245"/>
      <c r="D22" s="245"/>
      <c r="E22" s="245"/>
      <c r="F22" s="256"/>
      <c r="G22" s="245"/>
      <c r="H22" s="245"/>
      <c r="I22" s="245"/>
      <c r="J22" s="245"/>
      <c r="K22" s="245"/>
      <c r="L22" s="245"/>
      <c r="M22" s="245"/>
      <c r="N22" s="245"/>
      <c r="O22" s="245"/>
      <c r="P22" s="257"/>
      <c r="Q22" s="239">
        <f>SUM(CashPaidOut35[[#This Row],[Period 0]:[Period 12]])</f>
        <v>0</v>
      </c>
      <c r="R22" s="239"/>
    </row>
    <row r="23" spans="1:18" x14ac:dyDescent="0.25">
      <c r="A23" s="255" t="s">
        <v>219</v>
      </c>
      <c r="B23" s="240"/>
      <c r="C23" s="245"/>
      <c r="D23" s="245"/>
      <c r="E23" s="245"/>
      <c r="F23" s="256"/>
      <c r="G23" s="245"/>
      <c r="H23" s="245"/>
      <c r="I23" s="245"/>
      <c r="J23" s="245"/>
      <c r="K23" s="245"/>
      <c r="L23" s="245"/>
      <c r="M23" s="245"/>
      <c r="N23" s="245"/>
      <c r="O23" s="245"/>
      <c r="P23" s="257"/>
      <c r="Q23" s="239">
        <f>SUM(CashPaidOut35[[#This Row],[Period 0]:[Period 12]])</f>
        <v>0</v>
      </c>
      <c r="R23" s="239"/>
    </row>
    <row r="24" spans="1:18" x14ac:dyDescent="0.25">
      <c r="A24" s="255" t="s">
        <v>220</v>
      </c>
      <c r="B24" s="240"/>
      <c r="C24" s="245"/>
      <c r="D24" s="245"/>
      <c r="E24" s="245"/>
      <c r="F24" s="256"/>
      <c r="G24" s="245"/>
      <c r="H24" s="245"/>
      <c r="I24" s="245"/>
      <c r="J24" s="245"/>
      <c r="K24" s="245"/>
      <c r="L24" s="245"/>
      <c r="M24" s="245"/>
      <c r="N24" s="245"/>
      <c r="O24" s="245"/>
      <c r="P24" s="257"/>
      <c r="Q24" s="239">
        <f>SUM(CashPaidOut35[[#This Row],[Period 0]:[Period 12]])</f>
        <v>0</v>
      </c>
      <c r="R24" s="239"/>
    </row>
    <row r="25" spans="1:18" x14ac:dyDescent="0.25">
      <c r="A25" s="255" t="s">
        <v>221</v>
      </c>
      <c r="B25" s="240"/>
      <c r="C25" s="245"/>
      <c r="D25" s="245"/>
      <c r="E25" s="245"/>
      <c r="F25" s="256"/>
      <c r="G25" s="245"/>
      <c r="H25" s="245"/>
      <c r="I25" s="245"/>
      <c r="J25" s="245"/>
      <c r="K25" s="245"/>
      <c r="L25" s="245"/>
      <c r="M25" s="245"/>
      <c r="N25" s="245"/>
      <c r="O25" s="245"/>
      <c r="P25" s="257"/>
      <c r="Q25" s="239">
        <f>SUM(CashPaidOut35[[#This Row],[Period 0]:[Period 12]])</f>
        <v>0</v>
      </c>
      <c r="R25" s="239"/>
    </row>
    <row r="26" spans="1:18" x14ac:dyDescent="0.25">
      <c r="A26" s="255" t="s">
        <v>222</v>
      </c>
      <c r="B26" s="240"/>
      <c r="C26" s="245"/>
      <c r="D26" s="245"/>
      <c r="E26" s="245"/>
      <c r="F26" s="256"/>
      <c r="G26" s="245"/>
      <c r="H26" s="245"/>
      <c r="I26" s="245"/>
      <c r="J26" s="245"/>
      <c r="K26" s="245"/>
      <c r="L26" s="245"/>
      <c r="M26" s="245"/>
      <c r="N26" s="245"/>
      <c r="O26" s="245"/>
      <c r="P26" s="257"/>
      <c r="Q26" s="239">
        <f>SUM(CashPaidOut35[[#This Row],[Period 0]:[Period 12]])</f>
        <v>0</v>
      </c>
      <c r="R26" s="239"/>
    </row>
    <row r="27" spans="1:18" x14ac:dyDescent="0.25">
      <c r="A27" s="255" t="s">
        <v>223</v>
      </c>
      <c r="B27" s="240"/>
      <c r="C27" s="245"/>
      <c r="D27" s="245"/>
      <c r="E27" s="245"/>
      <c r="F27" s="256"/>
      <c r="G27" s="245"/>
      <c r="H27" s="245"/>
      <c r="I27" s="245"/>
      <c r="J27" s="245"/>
      <c r="K27" s="245"/>
      <c r="L27" s="245"/>
      <c r="M27" s="245"/>
      <c r="N27" s="245"/>
      <c r="O27" s="245"/>
      <c r="P27" s="257"/>
      <c r="Q27" s="239">
        <f>SUM(CashPaidOut35[[#This Row],[Period 0]:[Period 12]])</f>
        <v>0</v>
      </c>
      <c r="R27" s="239"/>
    </row>
    <row r="28" spans="1:18" x14ac:dyDescent="0.25">
      <c r="A28" s="255" t="s">
        <v>224</v>
      </c>
      <c r="B28" s="240"/>
      <c r="C28" s="245"/>
      <c r="D28" s="245"/>
      <c r="E28" s="245"/>
      <c r="F28" s="256"/>
      <c r="G28" s="245"/>
      <c r="H28" s="245"/>
      <c r="I28" s="245"/>
      <c r="J28" s="245"/>
      <c r="K28" s="245"/>
      <c r="L28" s="245"/>
      <c r="M28" s="245"/>
      <c r="N28" s="245"/>
      <c r="O28" s="245"/>
      <c r="P28" s="257"/>
      <c r="Q28" s="239">
        <f>SUM(CashPaidOut35[[#This Row],[Period 0]:[Period 12]])</f>
        <v>0</v>
      </c>
      <c r="R28" s="239"/>
    </row>
    <row r="29" spans="1:18" x14ac:dyDescent="0.25">
      <c r="A29" s="255" t="s">
        <v>225</v>
      </c>
      <c r="B29" s="240"/>
      <c r="C29" s="245"/>
      <c r="D29" s="245"/>
      <c r="E29" s="245"/>
      <c r="F29" s="256"/>
      <c r="G29" s="245"/>
      <c r="H29" s="245"/>
      <c r="I29" s="245"/>
      <c r="J29" s="245"/>
      <c r="K29" s="245"/>
      <c r="L29" s="245"/>
      <c r="M29" s="245"/>
      <c r="N29" s="245"/>
      <c r="O29" s="245"/>
      <c r="P29" s="257"/>
      <c r="Q29" s="239">
        <f>SUM(CashPaidOut35[[#This Row],[Period 0]:[Period 12]])</f>
        <v>0</v>
      </c>
      <c r="R29" s="239"/>
    </row>
    <row r="30" spans="1:18" x14ac:dyDescent="0.25">
      <c r="A30" s="255" t="s">
        <v>226</v>
      </c>
      <c r="B30" s="240"/>
      <c r="C30" s="245"/>
      <c r="D30" s="245"/>
      <c r="E30" s="245"/>
      <c r="F30" s="256"/>
      <c r="G30" s="245"/>
      <c r="H30" s="245"/>
      <c r="I30" s="245"/>
      <c r="J30" s="245"/>
      <c r="K30" s="245"/>
      <c r="L30" s="245"/>
      <c r="M30" s="245"/>
      <c r="N30" s="245"/>
      <c r="O30" s="245"/>
      <c r="P30" s="257"/>
      <c r="Q30" s="239">
        <f>SUM(CashPaidOut35[[#This Row],[Period 0]:[Period 12]])</f>
        <v>0</v>
      </c>
      <c r="R30" s="239"/>
    </row>
    <row r="31" spans="1:18" x14ac:dyDescent="0.25">
      <c r="A31" s="255" t="s">
        <v>227</v>
      </c>
      <c r="B31" s="240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58"/>
      <c r="Q31" s="239">
        <f>SUM(CashPaidOut35[[#This Row],[Period 0]:[Period 12]])</f>
        <v>0</v>
      </c>
      <c r="R31" s="239"/>
    </row>
    <row r="32" spans="1:18" x14ac:dyDescent="0.25">
      <c r="A32" s="255" t="s">
        <v>228</v>
      </c>
      <c r="B32" s="240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58"/>
      <c r="Q32" s="239">
        <f>SUM(CashPaidOut35[[#This Row],[Period 0]:[Period 12]])</f>
        <v>0</v>
      </c>
      <c r="R32" s="239"/>
    </row>
    <row r="33" spans="1:18" x14ac:dyDescent="0.25">
      <c r="A33" s="255" t="s">
        <v>229</v>
      </c>
      <c r="B33" s="240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57"/>
      <c r="Q33" s="239">
        <f>SUM(CashPaidOut35[[#This Row],[Period 0]:[Period 12]])</f>
        <v>0</v>
      </c>
      <c r="R33" s="239"/>
    </row>
    <row r="34" spans="1:18" x14ac:dyDescent="0.25">
      <c r="A34" s="255" t="s">
        <v>230</v>
      </c>
      <c r="B34" s="240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58"/>
      <c r="Q34" s="239">
        <f>SUM(CashPaidOut35[[#This Row],[Period 0]:[Period 12]])</f>
        <v>0</v>
      </c>
      <c r="R34" s="239"/>
    </row>
    <row r="35" spans="1:18" x14ac:dyDescent="0.25">
      <c r="A35" s="255" t="s">
        <v>231</v>
      </c>
      <c r="B35" s="240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58"/>
      <c r="Q35" s="239">
        <f>SUM(CashPaidOut35[[#This Row],[Period 0]:[Period 12]])</f>
        <v>0</v>
      </c>
      <c r="R35" s="239"/>
    </row>
    <row r="36" spans="1:18" x14ac:dyDescent="0.25">
      <c r="A36" s="255" t="s">
        <v>232</v>
      </c>
      <c r="B36" s="240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58"/>
      <c r="Q36" s="239">
        <f>SUM(CashPaidOut35[[#This Row],[Period 0]:[Period 12]])</f>
        <v>0</v>
      </c>
      <c r="R36" s="239"/>
    </row>
    <row r="37" spans="1:18" x14ac:dyDescent="0.25">
      <c r="A37" s="255" t="s">
        <v>233</v>
      </c>
      <c r="B37" s="240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58"/>
      <c r="Q37" s="239">
        <f>SUM(CashPaidOut35[[#This Row],[Period 0]:[Period 12]])</f>
        <v>0</v>
      </c>
      <c r="R37" s="239"/>
    </row>
    <row r="38" spans="1:18" x14ac:dyDescent="0.25">
      <c r="A38" s="255" t="s">
        <v>234</v>
      </c>
      <c r="B38" s="240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57"/>
      <c r="Q38" s="239">
        <f>SUM(CashPaidOut35[[#This Row],[Period 0]:[Period 12]])</f>
        <v>0</v>
      </c>
      <c r="R38" s="239"/>
    </row>
    <row r="39" spans="1:18" x14ac:dyDescent="0.25">
      <c r="A39" s="255" t="s">
        <v>235</v>
      </c>
      <c r="B39" s="240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58"/>
      <c r="Q39" s="239">
        <f>SUM(CashPaidOut35[[#This Row],[Period 0]:[Period 12]])</f>
        <v>0</v>
      </c>
      <c r="R39" s="239"/>
    </row>
    <row r="40" spans="1:18" x14ac:dyDescent="0.25">
      <c r="A40" s="259" t="s">
        <v>236</v>
      </c>
      <c r="B40" s="240"/>
      <c r="C40" s="239">
        <f>SUBTOTAL(109,CashPaidOut35[Period 0])</f>
        <v>0</v>
      </c>
      <c r="D40" s="239">
        <f>SUBTOTAL(109,CashPaidOut35[Period 1])</f>
        <v>0</v>
      </c>
      <c r="E40" s="239">
        <f>SUBTOTAL(109,CashPaidOut35[Period 2])</f>
        <v>0</v>
      </c>
      <c r="F40" s="239">
        <f>SUBTOTAL(109,CashPaidOut35[Period 3])</f>
        <v>0</v>
      </c>
      <c r="G40" s="239">
        <f>SUBTOTAL(109,CashPaidOut35[Period 4])</f>
        <v>0</v>
      </c>
      <c r="H40" s="239">
        <f>SUBTOTAL(109,CashPaidOut35[Period 5])</f>
        <v>0</v>
      </c>
      <c r="I40" s="239">
        <f>SUBTOTAL(109,CashPaidOut35[Period 6])</f>
        <v>0</v>
      </c>
      <c r="J40" s="239">
        <f>SUBTOTAL(109,CashPaidOut35[Period 7])</f>
        <v>0</v>
      </c>
      <c r="K40" s="239">
        <f>SUBTOTAL(109,CashPaidOut35[Period 8])</f>
        <v>0</v>
      </c>
      <c r="L40" s="239">
        <f>SUBTOTAL(109,CashPaidOut35[Period 9])</f>
        <v>0</v>
      </c>
      <c r="M40" s="239">
        <f>SUBTOTAL(109,CashPaidOut35[Period 10])</f>
        <v>0</v>
      </c>
      <c r="N40" s="239">
        <f>SUBTOTAL(109,CashPaidOut35[Period 11])</f>
        <v>0</v>
      </c>
      <c r="O40" s="239"/>
      <c r="P40" s="258"/>
      <c r="Q40" s="239">
        <f>SUBTOTAL(109,CashPaidOut35[Total])</f>
        <v>0</v>
      </c>
      <c r="R40" s="219"/>
    </row>
    <row r="41" spans="1:18" x14ac:dyDescent="0.25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</row>
    <row r="42" spans="1:18" x14ac:dyDescent="0.25">
      <c r="A42" s="301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</row>
    <row r="43" spans="1:18" ht="15.75" thickBot="1" x14ac:dyDescent="0.3">
      <c r="A43" s="249" t="s">
        <v>237</v>
      </c>
      <c r="B43" s="250"/>
      <c r="C43" s="260">
        <f t="shared" ref="C43:N43" si="2">C13-C40</f>
        <v>0</v>
      </c>
      <c r="D43" s="260">
        <f t="shared" si="2"/>
        <v>0</v>
      </c>
      <c r="E43" s="260">
        <f t="shared" si="2"/>
        <v>0</v>
      </c>
      <c r="F43" s="260">
        <f t="shared" si="2"/>
        <v>0</v>
      </c>
      <c r="G43" s="260">
        <f t="shared" si="2"/>
        <v>0</v>
      </c>
      <c r="H43" s="260">
        <f t="shared" si="2"/>
        <v>0</v>
      </c>
      <c r="I43" s="260">
        <f t="shared" si="2"/>
        <v>0</v>
      </c>
      <c r="J43" s="260">
        <f t="shared" si="2"/>
        <v>0</v>
      </c>
      <c r="K43" s="260">
        <f t="shared" si="2"/>
        <v>0</v>
      </c>
      <c r="L43" s="260">
        <f t="shared" si="2"/>
        <v>0</v>
      </c>
      <c r="M43" s="260">
        <f t="shared" si="2"/>
        <v>0</v>
      </c>
      <c r="N43" s="260">
        <f t="shared" si="2"/>
        <v>0</v>
      </c>
      <c r="O43" s="260"/>
      <c r="P43" s="250"/>
      <c r="Q43" s="260">
        <f>Q13-Q40</f>
        <v>0</v>
      </c>
      <c r="R43" s="261"/>
    </row>
    <row r="44" spans="1:18" x14ac:dyDescent="0.2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</row>
  </sheetData>
  <mergeCells count="3">
    <mergeCell ref="A14:R14"/>
    <mergeCell ref="A41:R41"/>
    <mergeCell ref="A42:R42"/>
  </mergeCells>
  <conditionalFormatting sqref="D13:O13">
    <cfRule type="expression" dxfId="84" priority="1">
      <formula>D13&lt;0</formula>
    </cfRule>
  </conditionalFormatting>
  <conditionalFormatting sqref="D6:O6">
    <cfRule type="expression" dxfId="83" priority="3">
      <formula>D6&lt;0</formula>
    </cfRule>
  </conditionalFormatting>
  <conditionalFormatting sqref="D43:O43">
    <cfRule type="expression" dxfId="82" priority="2">
      <formula>D43&lt;0</formula>
    </cfRule>
  </conditionalFormatting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63E5A66-5C46-4508-BC29-4507D8E622DE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D6:Q6</xm:sqref>
        </x14:conditionalFormatting>
        <x14:conditionalFormatting xmlns:xm="http://schemas.microsoft.com/office/excel/2006/main">
          <x14:cfRule type="iconSet" priority="5" id="{75569B53-F1C9-4399-AB83-A825D11FE153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C13:Q13</xm:sqref>
        </x14:conditionalFormatting>
        <x14:conditionalFormatting xmlns:xm="http://schemas.microsoft.com/office/excel/2006/main">
          <x14:cfRule type="iconSet" priority="6" id="{88BB28DA-6695-4ACF-8DAF-7ABEE42F48B2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NoIcons" iconId="0"/>
            </x14:iconSet>
          </x14:cfRule>
          <xm:sqref>Q43 C43:O43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>
          <x14:colorSeries theme="0" tint="-0.34998626667073579"/>
          <x14:colorNegative theme="9"/>
          <x14:colorAxis rgb="FF000000"/>
          <x14:colorMarkers theme="9"/>
          <x14:colorFirst theme="4"/>
          <x14:colorLast theme="5"/>
          <x14:colorHigh theme="6"/>
          <x14:colorLow theme="7"/>
          <x14:sparklines>
            <x14:sparkline>
              <xm:f>'KASSAVIRTALASKELMA 3 V.'!C43:O43</xm:f>
              <xm:sqref>R43</xm:sqref>
            </x14:sparkline>
            <x14:sparkline>
              <xm:f>'KASSAVIRTALASKELMA 3 V.'!C13:O13</xm:f>
              <xm:sqref>R13</xm:sqref>
            </x14:sparkline>
            <x14:sparkline>
              <xm:f>'KASSAVIRTALASKELMA 3 V.'!C40:O40</xm:f>
              <xm:sqref>R40</xm:sqref>
            </x14:sparkline>
            <x14:sparkline>
              <xm:f>'KASSAVIRTALASKELMA 3 V.'!C6:O6</xm:f>
              <xm:sqref>R6</xm:sqref>
            </x14:sparkline>
            <x14:sparkline>
              <xm:f>'KASSAVIRTALASKELMA 3 V.'!C12:O12</xm:f>
              <xm:sqref>R12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1</vt:i4>
      </vt:variant>
    </vt:vector>
  </HeadingPairs>
  <TitlesOfParts>
    <vt:vector size="7" baseType="lpstr">
      <vt:lpstr>KANNATTAVUUSLASKELMA</vt:lpstr>
      <vt:lpstr>RAHOITUSLASKELMA</vt:lpstr>
      <vt:lpstr>KUUKAUSIMYYNTILASKELMA</vt:lpstr>
      <vt:lpstr>KASSAVIRTALASKELMA 1V.</vt:lpstr>
      <vt:lpstr>KASSAVIRTALASKELMA 2 V.</vt:lpstr>
      <vt:lpstr>KASSAVIRTALASKELMA 3 V.</vt:lpstr>
      <vt:lpstr>FiscalYearStartDate</vt:lpstr>
    </vt:vector>
  </TitlesOfParts>
  <Company>Rauman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Kalliovuo Kaisa</dc:creator>
  <cp:lastModifiedBy>Ylipuranen Jenna</cp:lastModifiedBy>
  <cp:lastPrinted>2023-11-27T13:12:20Z</cp:lastPrinted>
  <dcterms:created xsi:type="dcterms:W3CDTF">2023-11-27T11:14:29Z</dcterms:created>
  <dcterms:modified xsi:type="dcterms:W3CDTF">2023-12-22T06:40:28Z</dcterms:modified>
</cp:coreProperties>
</file>